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<sst xmlns="http://schemas.openxmlformats.org/spreadsheetml/2006/main" count="232" uniqueCount="12">
  <si>
    <t>保亭县人民医院2022年公开招聘工作人员（第五批）资格审查合格人员名单</t>
  </si>
  <si>
    <t>序号</t>
  </si>
  <si>
    <t>报考岗位</t>
  </si>
  <si>
    <t>姓名</t>
  </si>
  <si>
    <t>性别</t>
  </si>
  <si>
    <t>出生年月</t>
  </si>
  <si>
    <t>学历</t>
  </si>
  <si>
    <t>所学专业</t>
  </si>
  <si>
    <t>毕业院校</t>
  </si>
  <si>
    <t>资格证书</t>
  </si>
  <si>
    <t>护士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</si>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</sst>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selection activeCell="L7" sqref="L7"/>
    </sheetView>
  </sheetViews>
  <sheetFormatPr defaultColWidth="9.00390625" defaultRowHeight="15"/>
  <cols>
    <col min="1" max="1" width="6.8515625" style="0" customWidth="1"/>
    <col min="2" max="2" width="10.8515625" style="0" customWidth="1"/>
    <col min="4" max="4" width="7.00390625" style="0" customWidth="1"/>
    <col min="5" max="5" width="12.57421875" style="0" customWidth="1"/>
    <col min="6" max="6" width="7.57421875" style="0" customWidth="1"/>
    <col min="7" max="7" width="10.421875" style="0" customWidth="1"/>
    <col min="8" max="8" width="24.7109375" style="0" customWidth="1"/>
    <col min="9" max="9" width="16.28125" style="0" customWidth="1"/>
    <col min="10" max="26" width="13.421875" style="0" customWidth="1"/>
  </cols>
  <sheetData>
    <row r="1" spans="1:9" s="1" customFormat="1" ht="52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0" customHeight="1">
      <c r="A3" s="6">
        <v>1</v>
      </c>
      <c r="B3" s="6" t="s">
        <v>10</v>
      </c>
      <c r="C3" s="6" t="str">
        <f>"郑庆窕"</f>
        <v>郑庆窕</v>
      </c>
      <c r="D3" s="6" t="str">
        <f aca="true" t="shared" si="0" ref="D3:D31">"女"</f>
        <v>女</v>
      </c>
      <c r="E3" s="6" t="str">
        <f>"1995-07-14"</f>
        <v>1995-07-14</v>
      </c>
      <c r="F3" s="6" t="str">
        <f aca="true" t="shared" si="1" ref="F3:F65">"大专"</f>
        <v>大专</v>
      </c>
      <c r="G3" s="6" t="s">
        <v>11</v>
      </c>
      <c r="H3" s="6" t="str">
        <f>"海南医学院"</f>
        <v>海南医学院</v>
      </c>
      <c r="I3" s="6" t="str">
        <f>"护士资格证"</f>
        <v>护士资格证</v>
      </c>
    </row>
    <row r="4" spans="1:9" s="1" customFormat="1" ht="30" customHeight="1">
      <c r="A4" s="6">
        <v>2</v>
      </c>
      <c r="B4" s="6" t="s">
        <v>10</v>
      </c>
      <c r="C4" s="6" t="str">
        <f>"黄艳美"</f>
        <v>黄艳美</v>
      </c>
      <c r="D4" s="6" t="str">
        <f t="shared" si="0"/>
        <v>女</v>
      </c>
      <c r="E4" s="6" t="str">
        <f>"1997-06-26"</f>
        <v>1997-06-26</v>
      </c>
      <c r="F4" s="6" t="str">
        <f t="shared" si="1"/>
        <v>大专</v>
      </c>
      <c r="G4" s="6" t="str">
        <f aca="true" t="shared" si="2" ref="G4:G9">"护理"</f>
        <v>护理</v>
      </c>
      <c r="H4" s="6" t="str">
        <f>"海南省第二卫生学校"</f>
        <v>海南省第二卫生学校</v>
      </c>
      <c r="I4" s="6" t="str">
        <f>"护士资格证"</f>
        <v>护士资格证</v>
      </c>
    </row>
    <row r="5" spans="1:9" s="1" customFormat="1" ht="30" customHeight="1">
      <c r="A5" s="6">
        <v>3</v>
      </c>
      <c r="B5" s="6" t="s">
        <v>10</v>
      </c>
      <c r="C5" s="6" t="str">
        <f>"陈玉连"</f>
        <v>陈玉连</v>
      </c>
      <c r="D5" s="6" t="str">
        <f t="shared" si="0"/>
        <v>女</v>
      </c>
      <c r="E5" s="6" t="str">
        <f>"1997-07-01"</f>
        <v>1997-07-01</v>
      </c>
      <c r="F5" s="6" t="str">
        <f t="shared" si="1"/>
        <v>大专</v>
      </c>
      <c r="G5" s="6" t="str">
        <f t="shared" si="2"/>
        <v>护理</v>
      </c>
      <c r="H5" s="6" t="str">
        <f>"鄂州职业大学"</f>
        <v>鄂州职业大学</v>
      </c>
      <c r="I5" s="6" t="str">
        <f aca="true" t="shared" si="3" ref="I5:I15">"护士资格证"</f>
        <v>护士资格证</v>
      </c>
    </row>
    <row r="6" spans="1:9" s="1" customFormat="1" ht="30" customHeight="1">
      <c r="A6" s="6">
        <v>4</v>
      </c>
      <c r="B6" s="6" t="s">
        <v>10</v>
      </c>
      <c r="C6" s="6" t="str">
        <f>"吴桂香"</f>
        <v>吴桂香</v>
      </c>
      <c r="D6" s="6" t="str">
        <f t="shared" si="0"/>
        <v>女</v>
      </c>
      <c r="E6" s="6" t="str">
        <f>"2000-10-01"</f>
        <v>2000-10-01</v>
      </c>
      <c r="F6" s="6" t="str">
        <f t="shared" si="1"/>
        <v>大专</v>
      </c>
      <c r="G6" s="6" t="s">
        <v>11</v>
      </c>
      <c r="H6" s="6" t="str">
        <f>"黄冈职业技术学院"</f>
        <v>黄冈职业技术学院</v>
      </c>
      <c r="I6" s="6" t="str">
        <f t="shared" si="3"/>
        <v>护士资格证</v>
      </c>
    </row>
    <row r="7" spans="1:9" s="1" customFormat="1" ht="30" customHeight="1">
      <c r="A7" s="6">
        <v>5</v>
      </c>
      <c r="B7" s="6" t="s">
        <v>10</v>
      </c>
      <c r="C7" s="6" t="str">
        <f>"吉家丽"</f>
        <v>吉家丽</v>
      </c>
      <c r="D7" s="6" t="str">
        <f t="shared" si="0"/>
        <v>女</v>
      </c>
      <c r="E7" s="6" t="str">
        <f>"1994-07-30"</f>
        <v>1994-07-30</v>
      </c>
      <c r="F7" s="6" t="str">
        <f t="shared" si="1"/>
        <v>大专</v>
      </c>
      <c r="G7" s="6" t="str">
        <f t="shared" si="2"/>
        <v>护理</v>
      </c>
      <c r="H7" s="6" t="str">
        <f>"海南健康管理职业技术学院"</f>
        <v>海南健康管理职业技术学院</v>
      </c>
      <c r="I7" s="6" t="str">
        <f t="shared" si="3"/>
        <v>护士资格证</v>
      </c>
    </row>
    <row r="8" spans="1:9" s="1" customFormat="1" ht="30" customHeight="1">
      <c r="A8" s="6">
        <v>6</v>
      </c>
      <c r="B8" s="6" t="s">
        <v>10</v>
      </c>
      <c r="C8" s="6" t="str">
        <f>"文连芳"</f>
        <v>文连芳</v>
      </c>
      <c r="D8" s="6" t="str">
        <f t="shared" si="0"/>
        <v>女</v>
      </c>
      <c r="E8" s="6" t="str">
        <f>"1999-09-08"</f>
        <v>1999-09-08</v>
      </c>
      <c r="F8" s="6" t="str">
        <f t="shared" si="1"/>
        <v>大专</v>
      </c>
      <c r="G8" s="6" t="str">
        <f t="shared" si="2"/>
        <v>护理</v>
      </c>
      <c r="H8" s="6" t="str">
        <f aca="true" t="shared" si="4" ref="H8:H12">"海南科技职业大学"</f>
        <v>海南科技职业大学</v>
      </c>
      <c r="I8" s="6" t="str">
        <f t="shared" si="3"/>
        <v>护士资格证</v>
      </c>
    </row>
    <row r="9" spans="1:9" s="1" customFormat="1" ht="30" customHeight="1">
      <c r="A9" s="6">
        <v>7</v>
      </c>
      <c r="B9" s="6" t="s">
        <v>10</v>
      </c>
      <c r="C9" s="6" t="str">
        <f>"黄泽情"</f>
        <v>黄泽情</v>
      </c>
      <c r="D9" s="6" t="str">
        <f t="shared" si="0"/>
        <v>女</v>
      </c>
      <c r="E9" s="6" t="str">
        <f>"1999-06-08"</f>
        <v>1999-06-08</v>
      </c>
      <c r="F9" s="6" t="str">
        <f t="shared" si="1"/>
        <v>大专</v>
      </c>
      <c r="G9" s="6" t="str">
        <f t="shared" si="2"/>
        <v>护理</v>
      </c>
      <c r="H9" s="6" t="str">
        <f>"江西卫生职业学院"</f>
        <v>江西卫生职业学院</v>
      </c>
      <c r="I9" s="6" t="str">
        <f t="shared" si="3"/>
        <v>护士资格证</v>
      </c>
    </row>
    <row r="10" spans="1:9" s="1" customFormat="1" ht="30" customHeight="1">
      <c r="A10" s="6">
        <v>8</v>
      </c>
      <c r="B10" s="6" t="s">
        <v>10</v>
      </c>
      <c r="C10" s="6" t="str">
        <f>"张梦婷"</f>
        <v>张梦婷</v>
      </c>
      <c r="D10" s="6" t="str">
        <f t="shared" si="0"/>
        <v>女</v>
      </c>
      <c r="E10" s="6" t="str">
        <f>"2002-10-04"</f>
        <v>2002-10-04</v>
      </c>
      <c r="F10" s="6" t="str">
        <f t="shared" si="1"/>
        <v>大专</v>
      </c>
      <c r="G10" s="6" t="s">
        <v>11</v>
      </c>
      <c r="H10" s="6" t="str">
        <f t="shared" si="4"/>
        <v>海南科技职业大学</v>
      </c>
      <c r="I10" s="6" t="str">
        <f t="shared" si="3"/>
        <v>护士资格证</v>
      </c>
    </row>
    <row r="11" spans="1:9" s="1" customFormat="1" ht="30" customHeight="1">
      <c r="A11" s="6">
        <v>9</v>
      </c>
      <c r="B11" s="6" t="s">
        <v>10</v>
      </c>
      <c r="C11" s="6" t="str">
        <f>"陈香冰"</f>
        <v>陈香冰</v>
      </c>
      <c r="D11" s="6" t="str">
        <f t="shared" si="0"/>
        <v>女</v>
      </c>
      <c r="E11" s="6" t="str">
        <f>"1998-05-25"</f>
        <v>1998-05-25</v>
      </c>
      <c r="F11" s="6" t="str">
        <f t="shared" si="1"/>
        <v>大专</v>
      </c>
      <c r="G11" s="6" t="str">
        <f>"护理学"</f>
        <v>护理学</v>
      </c>
      <c r="H11" s="6" t="str">
        <f>"江西工商职业学院"</f>
        <v>江西工商职业学院</v>
      </c>
      <c r="I11" s="6" t="str">
        <f t="shared" si="3"/>
        <v>护士资格证</v>
      </c>
    </row>
    <row r="12" spans="1:9" s="1" customFormat="1" ht="30" customHeight="1">
      <c r="A12" s="6">
        <v>10</v>
      </c>
      <c r="B12" s="6" t="s">
        <v>10</v>
      </c>
      <c r="C12" s="6" t="str">
        <f>"卢军柳"</f>
        <v>卢军柳</v>
      </c>
      <c r="D12" s="6" t="str">
        <f t="shared" si="0"/>
        <v>女</v>
      </c>
      <c r="E12" s="6" t="str">
        <f>"1998-01-15"</f>
        <v>1998-01-15</v>
      </c>
      <c r="F12" s="6" t="str">
        <f t="shared" si="1"/>
        <v>大专</v>
      </c>
      <c r="G12" s="6" t="str">
        <f aca="true" t="shared" si="5" ref="G12:G15">"护理"</f>
        <v>护理</v>
      </c>
      <c r="H12" s="6" t="str">
        <f t="shared" si="4"/>
        <v>海南科技职业大学</v>
      </c>
      <c r="I12" s="6" t="str">
        <f t="shared" si="3"/>
        <v>护士资格证</v>
      </c>
    </row>
    <row r="13" spans="1:9" s="1" customFormat="1" ht="30" customHeight="1">
      <c r="A13" s="6">
        <v>11</v>
      </c>
      <c r="B13" s="6" t="s">
        <v>10</v>
      </c>
      <c r="C13" s="6" t="str">
        <f>"庄晓玲"</f>
        <v>庄晓玲</v>
      </c>
      <c r="D13" s="6" t="str">
        <f t="shared" si="0"/>
        <v>女</v>
      </c>
      <c r="E13" s="6" t="str">
        <f>"1987-01-10"</f>
        <v>1987-01-10</v>
      </c>
      <c r="F13" s="6" t="str">
        <f t="shared" si="1"/>
        <v>大专</v>
      </c>
      <c r="G13" s="6" t="str">
        <f>"护理学"</f>
        <v>护理学</v>
      </c>
      <c r="H13" s="6" t="str">
        <f>"海南省五指山市第二卫生学校"</f>
        <v>海南省五指山市第二卫生学校</v>
      </c>
      <c r="I13" s="6" t="str">
        <f t="shared" si="3"/>
        <v>护士资格证</v>
      </c>
    </row>
    <row r="14" spans="1:9" s="1" customFormat="1" ht="30" customHeight="1">
      <c r="A14" s="6">
        <v>12</v>
      </c>
      <c r="B14" s="6" t="s">
        <v>10</v>
      </c>
      <c r="C14" s="6" t="str">
        <f>"何景"</f>
        <v>何景</v>
      </c>
      <c r="D14" s="6" t="str">
        <f t="shared" si="0"/>
        <v>女</v>
      </c>
      <c r="E14" s="6" t="str">
        <f>"2001-08-28"</f>
        <v>2001-08-28</v>
      </c>
      <c r="F14" s="6" t="str">
        <f t="shared" si="1"/>
        <v>大专</v>
      </c>
      <c r="G14" s="6" t="str">
        <f t="shared" si="5"/>
        <v>护理</v>
      </c>
      <c r="H14" s="6" t="str">
        <f>"江西卫生职业学院"</f>
        <v>江西卫生职业学院</v>
      </c>
      <c r="I14" s="6" t="str">
        <f t="shared" si="3"/>
        <v>护士资格证</v>
      </c>
    </row>
    <row r="15" spans="1:9" s="1" customFormat="1" ht="30" customHeight="1">
      <c r="A15" s="6">
        <v>13</v>
      </c>
      <c r="B15" s="6" t="s">
        <v>10</v>
      </c>
      <c r="C15" s="6" t="str">
        <f>"陈新叶"</f>
        <v>陈新叶</v>
      </c>
      <c r="D15" s="6" t="str">
        <f t="shared" si="0"/>
        <v>女</v>
      </c>
      <c r="E15" s="6" t="str">
        <f>"1996-08-10"</f>
        <v>1996-08-10</v>
      </c>
      <c r="F15" s="6" t="str">
        <f t="shared" si="1"/>
        <v>大专</v>
      </c>
      <c r="G15" s="6" t="str">
        <f t="shared" si="5"/>
        <v>护理</v>
      </c>
      <c r="H15" s="6" t="str">
        <f>"海南医学院"</f>
        <v>海南医学院</v>
      </c>
      <c r="I15" s="6" t="str">
        <f t="shared" si="3"/>
        <v>护士资格证</v>
      </c>
    </row>
    <row r="16" spans="1:9" s="1" customFormat="1" ht="30" customHeight="1">
      <c r="A16" s="6">
        <v>14</v>
      </c>
      <c r="B16" s="6" t="s">
        <v>10</v>
      </c>
      <c r="C16" s="6" t="str">
        <f>"蔡虹"</f>
        <v>蔡虹</v>
      </c>
      <c r="D16" s="6" t="str">
        <f t="shared" si="0"/>
        <v>女</v>
      </c>
      <c r="E16" s="6" t="str">
        <f>"2000-10-06"</f>
        <v>2000-10-06</v>
      </c>
      <c r="F16" s="6" t="str">
        <f t="shared" si="1"/>
        <v>大专</v>
      </c>
      <c r="G16" s="6" t="s">
        <v>11</v>
      </c>
      <c r="H16" s="6" t="str">
        <f>"江西工商职业技术学院"</f>
        <v>江西工商职业技术学院</v>
      </c>
      <c r="I16" s="6" t="str">
        <f aca="true" t="shared" si="6" ref="I16:I23">"护士资格证"</f>
        <v>护士资格证</v>
      </c>
    </row>
    <row r="17" spans="1:9" s="1" customFormat="1" ht="30" customHeight="1">
      <c r="A17" s="6">
        <v>15</v>
      </c>
      <c r="B17" s="6" t="s">
        <v>10</v>
      </c>
      <c r="C17" s="6" t="str">
        <f>"陈少晓"</f>
        <v>陈少晓</v>
      </c>
      <c r="D17" s="6" t="str">
        <f t="shared" si="0"/>
        <v>女</v>
      </c>
      <c r="E17" s="6" t="str">
        <f>"1999-10-20"</f>
        <v>1999-10-20</v>
      </c>
      <c r="F17" s="6" t="str">
        <f t="shared" si="1"/>
        <v>大专</v>
      </c>
      <c r="G17" s="6" t="str">
        <f>"护理学"</f>
        <v>护理学</v>
      </c>
      <c r="H17" s="6" t="str">
        <f>"常德职业技术学"</f>
        <v>常德职业技术学</v>
      </c>
      <c r="I17" s="6" t="str">
        <f t="shared" si="6"/>
        <v>护士资格证</v>
      </c>
    </row>
    <row r="18" spans="1:9" s="1" customFormat="1" ht="30" customHeight="1">
      <c r="A18" s="6">
        <v>16</v>
      </c>
      <c r="B18" s="6" t="s">
        <v>10</v>
      </c>
      <c r="C18" s="6" t="str">
        <f>"陈春燕"</f>
        <v>陈春燕</v>
      </c>
      <c r="D18" s="6" t="str">
        <f t="shared" si="0"/>
        <v>女</v>
      </c>
      <c r="E18" s="6" t="str">
        <f>"1996-06-02"</f>
        <v>1996-06-02</v>
      </c>
      <c r="F18" s="6" t="str">
        <f t="shared" si="1"/>
        <v>大专</v>
      </c>
      <c r="G18" s="6" t="str">
        <f aca="true" t="shared" si="7" ref="G18:G20">"护理"</f>
        <v>护理</v>
      </c>
      <c r="H18" s="6" t="str">
        <f>"海南科技职业学院"</f>
        <v>海南科技职业学院</v>
      </c>
      <c r="I18" s="6" t="str">
        <f t="shared" si="6"/>
        <v>护士资格证</v>
      </c>
    </row>
    <row r="19" spans="1:9" s="1" customFormat="1" ht="30" customHeight="1">
      <c r="A19" s="6">
        <v>17</v>
      </c>
      <c r="B19" s="6" t="s">
        <v>10</v>
      </c>
      <c r="C19" s="6" t="str">
        <f>"蔡小冰"</f>
        <v>蔡小冰</v>
      </c>
      <c r="D19" s="6" t="str">
        <f t="shared" si="0"/>
        <v>女</v>
      </c>
      <c r="E19" s="6" t="str">
        <f>"1997-08-01"</f>
        <v>1997-08-01</v>
      </c>
      <c r="F19" s="6" t="str">
        <f t="shared" si="1"/>
        <v>大专</v>
      </c>
      <c r="G19" s="6" t="str">
        <f t="shared" si="7"/>
        <v>护理</v>
      </c>
      <c r="H19" s="6" t="str">
        <f>"海南医学院"</f>
        <v>海南医学院</v>
      </c>
      <c r="I19" s="6" t="str">
        <f t="shared" si="6"/>
        <v>护士资格证</v>
      </c>
    </row>
    <row r="20" spans="1:9" s="1" customFormat="1" ht="30" customHeight="1">
      <c r="A20" s="6">
        <v>18</v>
      </c>
      <c r="B20" s="6" t="s">
        <v>10</v>
      </c>
      <c r="C20" s="6" t="str">
        <f>"吉如锐"</f>
        <v>吉如锐</v>
      </c>
      <c r="D20" s="6" t="str">
        <f t="shared" si="0"/>
        <v>女</v>
      </c>
      <c r="E20" s="6" t="str">
        <f>"2001-03-10"</f>
        <v>2001-03-10</v>
      </c>
      <c r="F20" s="6" t="str">
        <f t="shared" si="1"/>
        <v>大专</v>
      </c>
      <c r="G20" s="6" t="str">
        <f t="shared" si="7"/>
        <v>护理</v>
      </c>
      <c r="H20" s="6" t="str">
        <f>"江西中医药高等专科学校"</f>
        <v>江西中医药高等专科学校</v>
      </c>
      <c r="I20" s="6" t="str">
        <f t="shared" si="6"/>
        <v>护士资格证</v>
      </c>
    </row>
    <row r="21" spans="1:9" s="1" customFormat="1" ht="30" customHeight="1">
      <c r="A21" s="6">
        <v>19</v>
      </c>
      <c r="B21" s="6" t="s">
        <v>10</v>
      </c>
      <c r="C21" s="6" t="str">
        <f>"朱海兰"</f>
        <v>朱海兰</v>
      </c>
      <c r="D21" s="6" t="str">
        <f t="shared" si="0"/>
        <v>女</v>
      </c>
      <c r="E21" s="6" t="str">
        <f>"1998-08-02"</f>
        <v>1998-08-02</v>
      </c>
      <c r="F21" s="6" t="str">
        <f t="shared" si="1"/>
        <v>大专</v>
      </c>
      <c r="G21" s="6" t="s">
        <v>11</v>
      </c>
      <c r="H21" s="6" t="str">
        <f aca="true" t="shared" si="8" ref="H21:H26">"海南科技职业大学"</f>
        <v>海南科技职业大学</v>
      </c>
      <c r="I21" s="6" t="str">
        <f t="shared" si="6"/>
        <v>护士资格证</v>
      </c>
    </row>
    <row r="22" spans="1:9" s="1" customFormat="1" ht="30" customHeight="1">
      <c r="A22" s="6">
        <v>20</v>
      </c>
      <c r="B22" s="6" t="s">
        <v>10</v>
      </c>
      <c r="C22" s="6" t="str">
        <f>"邢金链"</f>
        <v>邢金链</v>
      </c>
      <c r="D22" s="6" t="str">
        <f t="shared" si="0"/>
        <v>女</v>
      </c>
      <c r="E22" s="6" t="str">
        <f>"1994-10-06"</f>
        <v>1994-10-06</v>
      </c>
      <c r="F22" s="6" t="str">
        <f t="shared" si="1"/>
        <v>大专</v>
      </c>
      <c r="G22" s="6" t="s">
        <v>11</v>
      </c>
      <c r="H22" s="6" t="str">
        <f>"黔南民族医学高等专科学校"</f>
        <v>黔南民族医学高等专科学校</v>
      </c>
      <c r="I22" s="6" t="str">
        <f t="shared" si="6"/>
        <v>护士资格证</v>
      </c>
    </row>
    <row r="23" spans="1:9" s="1" customFormat="1" ht="30" customHeight="1">
      <c r="A23" s="6">
        <v>21</v>
      </c>
      <c r="B23" s="6" t="s">
        <v>10</v>
      </c>
      <c r="C23" s="6" t="str">
        <f>"林翠珠"</f>
        <v>林翠珠</v>
      </c>
      <c r="D23" s="6" t="str">
        <f t="shared" si="0"/>
        <v>女</v>
      </c>
      <c r="E23" s="6" t="str">
        <f>"2000-12-18"</f>
        <v>2000-12-18</v>
      </c>
      <c r="F23" s="6" t="str">
        <f t="shared" si="1"/>
        <v>大专</v>
      </c>
      <c r="G23" s="6" t="s">
        <v>11</v>
      </c>
      <c r="H23" s="6" t="str">
        <f t="shared" si="8"/>
        <v>海南科技职业大学</v>
      </c>
      <c r="I23" s="6" t="str">
        <f t="shared" si="6"/>
        <v>护士资格证</v>
      </c>
    </row>
    <row r="24" spans="1:9" s="1" customFormat="1" ht="30" customHeight="1">
      <c r="A24" s="6">
        <v>22</v>
      </c>
      <c r="B24" s="6" t="s">
        <v>10</v>
      </c>
      <c r="C24" s="6" t="str">
        <f>"王欢欢"</f>
        <v>王欢欢</v>
      </c>
      <c r="D24" s="6" t="str">
        <f t="shared" si="0"/>
        <v>女</v>
      </c>
      <c r="E24" s="6" t="str">
        <f>"1996-12-28"</f>
        <v>1996-12-28</v>
      </c>
      <c r="F24" s="6" t="str">
        <f t="shared" si="1"/>
        <v>大专</v>
      </c>
      <c r="G24" s="6" t="str">
        <f aca="true" t="shared" si="9" ref="G24:G29">"护理学"</f>
        <v>护理学</v>
      </c>
      <c r="H24" s="6" t="str">
        <f>"海南省卫生学校"</f>
        <v>海南省卫生学校</v>
      </c>
      <c r="I24" s="6" t="str">
        <f aca="true" t="shared" si="10" ref="I24:I27">"护士资格证"</f>
        <v>护士资格证</v>
      </c>
    </row>
    <row r="25" spans="1:9" s="1" customFormat="1" ht="30" customHeight="1">
      <c r="A25" s="6">
        <v>23</v>
      </c>
      <c r="B25" s="6" t="s">
        <v>10</v>
      </c>
      <c r="C25" s="6" t="str">
        <f>"吉家媛"</f>
        <v>吉家媛</v>
      </c>
      <c r="D25" s="6" t="str">
        <f t="shared" si="0"/>
        <v>女</v>
      </c>
      <c r="E25" s="6" t="str">
        <f>"1999-09-03"</f>
        <v>1999-09-03</v>
      </c>
      <c r="F25" s="6" t="str">
        <f t="shared" si="1"/>
        <v>大专</v>
      </c>
      <c r="G25" s="6" t="str">
        <f aca="true" t="shared" si="11" ref="G25:G30">"护理"</f>
        <v>护理</v>
      </c>
      <c r="H25" s="6" t="str">
        <f>"海南省第二卫生学校"</f>
        <v>海南省第二卫生学校</v>
      </c>
      <c r="I25" s="6" t="str">
        <f t="shared" si="10"/>
        <v>护士资格证</v>
      </c>
    </row>
    <row r="26" spans="1:9" s="1" customFormat="1" ht="30" customHeight="1">
      <c r="A26" s="6">
        <v>24</v>
      </c>
      <c r="B26" s="6" t="s">
        <v>10</v>
      </c>
      <c r="C26" s="6" t="str">
        <f>"吴清妃"</f>
        <v>吴清妃</v>
      </c>
      <c r="D26" s="6" t="str">
        <f t="shared" si="0"/>
        <v>女</v>
      </c>
      <c r="E26" s="6" t="str">
        <f>"1995-10-16"</f>
        <v>1995-10-16</v>
      </c>
      <c r="F26" s="6" t="str">
        <f t="shared" si="1"/>
        <v>大专</v>
      </c>
      <c r="G26" s="6" t="str">
        <f t="shared" si="9"/>
        <v>护理学</v>
      </c>
      <c r="H26" s="6" t="str">
        <f t="shared" si="8"/>
        <v>海南科技职业大学</v>
      </c>
      <c r="I26" s="6" t="str">
        <f t="shared" si="10"/>
        <v>护士资格证</v>
      </c>
    </row>
    <row r="27" spans="1:9" s="1" customFormat="1" ht="30" customHeight="1">
      <c r="A27" s="6">
        <v>25</v>
      </c>
      <c r="B27" s="6" t="s">
        <v>10</v>
      </c>
      <c r="C27" s="6" t="str">
        <f>"杨文珠"</f>
        <v>杨文珠</v>
      </c>
      <c r="D27" s="6" t="str">
        <f t="shared" si="0"/>
        <v>女</v>
      </c>
      <c r="E27" s="6" t="str">
        <f>"1997-09-21"</f>
        <v>1997-09-21</v>
      </c>
      <c r="F27" s="6" t="str">
        <f t="shared" si="1"/>
        <v>大专</v>
      </c>
      <c r="G27" s="6" t="str">
        <f>"助产"</f>
        <v>助产</v>
      </c>
      <c r="H27" s="6" t="str">
        <f>"海南医学院"</f>
        <v>海南医学院</v>
      </c>
      <c r="I27" s="6" t="str">
        <f t="shared" si="10"/>
        <v>护士资格证</v>
      </c>
    </row>
    <row r="28" spans="1:9" s="1" customFormat="1" ht="30" customHeight="1">
      <c r="A28" s="6">
        <v>26</v>
      </c>
      <c r="B28" s="6" t="s">
        <v>10</v>
      </c>
      <c r="C28" s="6" t="str">
        <f>"吴俊美"</f>
        <v>吴俊美</v>
      </c>
      <c r="D28" s="6" t="str">
        <f t="shared" si="0"/>
        <v>女</v>
      </c>
      <c r="E28" s="6" t="str">
        <f>"1994-08-26"</f>
        <v>1994-08-26</v>
      </c>
      <c r="F28" s="6" t="str">
        <f t="shared" si="1"/>
        <v>大专</v>
      </c>
      <c r="G28" s="6" t="str">
        <f t="shared" si="11"/>
        <v>护理</v>
      </c>
      <c r="H28" s="6" t="str">
        <f>"海南医学院"</f>
        <v>海南医学院</v>
      </c>
      <c r="I28" s="6" t="str">
        <f aca="true" t="shared" si="12" ref="I28:I34">"护士资格证"</f>
        <v>护士资格证</v>
      </c>
    </row>
    <row r="29" spans="1:9" s="1" customFormat="1" ht="30" customHeight="1">
      <c r="A29" s="6">
        <v>27</v>
      </c>
      <c r="B29" s="6" t="s">
        <v>10</v>
      </c>
      <c r="C29" s="6" t="str">
        <f>"符金竹"</f>
        <v>符金竹</v>
      </c>
      <c r="D29" s="6" t="str">
        <f t="shared" si="0"/>
        <v>女</v>
      </c>
      <c r="E29" s="6" t="str">
        <f>"1998-03-13"</f>
        <v>1998-03-13</v>
      </c>
      <c r="F29" s="6" t="str">
        <f t="shared" si="1"/>
        <v>大专</v>
      </c>
      <c r="G29" s="6" t="str">
        <f t="shared" si="9"/>
        <v>护理学</v>
      </c>
      <c r="H29" s="6" t="str">
        <f>"山西医科大学"</f>
        <v>山西医科大学</v>
      </c>
      <c r="I29" s="6" t="str">
        <f t="shared" si="12"/>
        <v>护士资格证</v>
      </c>
    </row>
    <row r="30" spans="1:9" s="1" customFormat="1" ht="30" customHeight="1">
      <c r="A30" s="6">
        <v>28</v>
      </c>
      <c r="B30" s="6" t="s">
        <v>10</v>
      </c>
      <c r="C30" s="6" t="str">
        <f>"陈诗敏"</f>
        <v>陈诗敏</v>
      </c>
      <c r="D30" s="6" t="str">
        <f t="shared" si="0"/>
        <v>女</v>
      </c>
      <c r="E30" s="6" t="str">
        <f>"2001-07-14"</f>
        <v>2001-07-14</v>
      </c>
      <c r="F30" s="6" t="str">
        <f t="shared" si="1"/>
        <v>大专</v>
      </c>
      <c r="G30" s="6" t="str">
        <f t="shared" si="11"/>
        <v>护理</v>
      </c>
      <c r="H30" s="6" t="str">
        <f>"海南科技职业大学"</f>
        <v>海南科技职业大学</v>
      </c>
      <c r="I30" s="6" t="str">
        <f t="shared" si="12"/>
        <v>护士资格证</v>
      </c>
    </row>
    <row r="31" spans="1:9" s="1" customFormat="1" ht="30" customHeight="1">
      <c r="A31" s="6">
        <v>29</v>
      </c>
      <c r="B31" s="6" t="s">
        <v>10</v>
      </c>
      <c r="C31" s="6" t="str">
        <f>"王小莹"</f>
        <v>王小莹</v>
      </c>
      <c r="D31" s="6" t="str">
        <f t="shared" si="0"/>
        <v>女</v>
      </c>
      <c r="E31" s="6" t="str">
        <f>"1996-11-12"</f>
        <v>1996-11-12</v>
      </c>
      <c r="F31" s="6" t="str">
        <f t="shared" si="1"/>
        <v>大专</v>
      </c>
      <c r="G31" s="6" t="str">
        <f>"护理学"</f>
        <v>护理学</v>
      </c>
      <c r="H31" s="6" t="str">
        <f>"江西中医院高等专科学校"</f>
        <v>江西中医院高等专科学校</v>
      </c>
      <c r="I31" s="6" t="str">
        <f t="shared" si="12"/>
        <v>护士资格证</v>
      </c>
    </row>
    <row r="32" spans="1:9" s="1" customFormat="1" ht="30" customHeight="1">
      <c r="A32" s="6">
        <v>30</v>
      </c>
      <c r="B32" s="6" t="s">
        <v>10</v>
      </c>
      <c r="C32" s="6" t="str">
        <f>"连森"</f>
        <v>连森</v>
      </c>
      <c r="D32" s="6" t="str">
        <f>"男"</f>
        <v>男</v>
      </c>
      <c r="E32" s="6" t="str">
        <f>"2002-02-11"</f>
        <v>2002-02-11</v>
      </c>
      <c r="F32" s="6" t="str">
        <f t="shared" si="1"/>
        <v>大专</v>
      </c>
      <c r="G32" s="6" t="str">
        <f aca="true" t="shared" si="13" ref="G32:G36">"护理"</f>
        <v>护理</v>
      </c>
      <c r="H32" s="6" t="str">
        <f>"海南科技职业大学"</f>
        <v>海南科技职业大学</v>
      </c>
      <c r="I32" s="6" t="str">
        <f t="shared" si="12"/>
        <v>护士资格证</v>
      </c>
    </row>
    <row r="33" spans="1:9" s="1" customFormat="1" ht="30" customHeight="1">
      <c r="A33" s="6">
        <v>31</v>
      </c>
      <c r="B33" s="6" t="s">
        <v>10</v>
      </c>
      <c r="C33" s="6" t="str">
        <f>"赵阿惠"</f>
        <v>赵阿惠</v>
      </c>
      <c r="D33" s="6" t="str">
        <f aca="true" t="shared" si="14" ref="D33:D64">"女"</f>
        <v>女</v>
      </c>
      <c r="E33" s="6" t="str">
        <f>"1997-12-18"</f>
        <v>1997-12-18</v>
      </c>
      <c r="F33" s="6" t="str">
        <f t="shared" si="1"/>
        <v>大专</v>
      </c>
      <c r="G33" s="6" t="str">
        <f t="shared" si="13"/>
        <v>护理</v>
      </c>
      <c r="H33" s="6" t="str">
        <f>"遵义医药高等专科学校"</f>
        <v>遵义医药高等专科学校</v>
      </c>
      <c r="I33" s="6" t="str">
        <f t="shared" si="12"/>
        <v>护士资格证</v>
      </c>
    </row>
    <row r="34" spans="1:9" s="1" customFormat="1" ht="30" customHeight="1">
      <c r="A34" s="6">
        <v>32</v>
      </c>
      <c r="B34" s="6" t="s">
        <v>10</v>
      </c>
      <c r="C34" s="6" t="str">
        <f>"符晓彤"</f>
        <v>符晓彤</v>
      </c>
      <c r="D34" s="6" t="str">
        <f t="shared" si="14"/>
        <v>女</v>
      </c>
      <c r="E34" s="6" t="str">
        <f>"2000-09-17"</f>
        <v>2000-09-17</v>
      </c>
      <c r="F34" s="6" t="str">
        <f t="shared" si="1"/>
        <v>大专</v>
      </c>
      <c r="G34" s="6" t="str">
        <f t="shared" si="13"/>
        <v>护理</v>
      </c>
      <c r="H34" s="6" t="str">
        <f aca="true" t="shared" si="15" ref="H34:H38">"海南医学院"</f>
        <v>海南医学院</v>
      </c>
      <c r="I34" s="6" t="str">
        <f t="shared" si="12"/>
        <v>护士资格证</v>
      </c>
    </row>
    <row r="35" spans="1:9" s="1" customFormat="1" ht="30" customHeight="1">
      <c r="A35" s="6">
        <v>33</v>
      </c>
      <c r="B35" s="6" t="s">
        <v>10</v>
      </c>
      <c r="C35" s="6" t="str">
        <f>"陈丽琼"</f>
        <v>陈丽琼</v>
      </c>
      <c r="D35" s="6" t="str">
        <f t="shared" si="14"/>
        <v>女</v>
      </c>
      <c r="E35" s="6" t="str">
        <f>"2001-05-17"</f>
        <v>2001-05-17</v>
      </c>
      <c r="F35" s="6" t="str">
        <f t="shared" si="1"/>
        <v>大专</v>
      </c>
      <c r="G35" s="6" t="str">
        <f t="shared" si="13"/>
        <v>护理</v>
      </c>
      <c r="H35" s="6" t="str">
        <f>"南昌大学抚州医学院"</f>
        <v>南昌大学抚州医学院</v>
      </c>
      <c r="I35" s="6" t="str">
        <f aca="true" t="shared" si="16" ref="I35:I40">"护士资格证"</f>
        <v>护士资格证</v>
      </c>
    </row>
    <row r="36" spans="1:9" s="1" customFormat="1" ht="30" customHeight="1">
      <c r="A36" s="6">
        <v>34</v>
      </c>
      <c r="B36" s="6" t="s">
        <v>10</v>
      </c>
      <c r="C36" s="6" t="str">
        <f>"李引红"</f>
        <v>李引红</v>
      </c>
      <c r="D36" s="6" t="str">
        <f t="shared" si="14"/>
        <v>女</v>
      </c>
      <c r="E36" s="6" t="str">
        <f>"1997-09-20"</f>
        <v>1997-09-20</v>
      </c>
      <c r="F36" s="6" t="str">
        <f t="shared" si="1"/>
        <v>大专</v>
      </c>
      <c r="G36" s="6" t="str">
        <f t="shared" si="13"/>
        <v>护理</v>
      </c>
      <c r="H36" s="6" t="str">
        <f t="shared" si="15"/>
        <v>海南医学院</v>
      </c>
      <c r="I36" s="6" t="str">
        <f>"执业资格证"</f>
        <v>执业资格证</v>
      </c>
    </row>
    <row r="37" spans="1:9" s="1" customFormat="1" ht="30" customHeight="1">
      <c r="A37" s="6">
        <v>35</v>
      </c>
      <c r="B37" s="6" t="s">
        <v>10</v>
      </c>
      <c r="C37" s="6" t="str">
        <f>"邢维林"</f>
        <v>邢维林</v>
      </c>
      <c r="D37" s="6" t="str">
        <f t="shared" si="14"/>
        <v>女</v>
      </c>
      <c r="E37" s="6" t="str">
        <f>"1999-02-01"</f>
        <v>1999-02-01</v>
      </c>
      <c r="F37" s="6" t="str">
        <f t="shared" si="1"/>
        <v>大专</v>
      </c>
      <c r="G37" s="6" t="str">
        <f>"护理学"</f>
        <v>护理学</v>
      </c>
      <c r="H37" s="6" t="str">
        <f aca="true" t="shared" si="17" ref="H37:H40">"海南科技职业大学"</f>
        <v>海南科技职业大学</v>
      </c>
      <c r="I37" s="6" t="str">
        <f t="shared" si="16"/>
        <v>护士资格证</v>
      </c>
    </row>
    <row r="38" spans="1:9" s="1" customFormat="1" ht="30" customHeight="1">
      <c r="A38" s="6">
        <v>36</v>
      </c>
      <c r="B38" s="6" t="s">
        <v>10</v>
      </c>
      <c r="C38" s="6" t="str">
        <f>"石碧慧"</f>
        <v>石碧慧</v>
      </c>
      <c r="D38" s="6" t="str">
        <f t="shared" si="14"/>
        <v>女</v>
      </c>
      <c r="E38" s="6" t="str">
        <f>"1996-10-08"</f>
        <v>1996-10-08</v>
      </c>
      <c r="F38" s="6" t="str">
        <f t="shared" si="1"/>
        <v>大专</v>
      </c>
      <c r="G38" s="6" t="str">
        <f aca="true" t="shared" si="18" ref="G38:G43">"护理"</f>
        <v>护理</v>
      </c>
      <c r="H38" s="6" t="str">
        <f t="shared" si="15"/>
        <v>海南医学院</v>
      </c>
      <c r="I38" s="6" t="str">
        <f t="shared" si="16"/>
        <v>护士资格证</v>
      </c>
    </row>
    <row r="39" spans="1:9" s="1" customFormat="1" ht="30" customHeight="1">
      <c r="A39" s="6">
        <v>37</v>
      </c>
      <c r="B39" s="6" t="s">
        <v>10</v>
      </c>
      <c r="C39" s="6" t="str">
        <f>"容海丹"</f>
        <v>容海丹</v>
      </c>
      <c r="D39" s="6" t="str">
        <f t="shared" si="14"/>
        <v>女</v>
      </c>
      <c r="E39" s="6" t="str">
        <f>"2000-04-15"</f>
        <v>2000-04-15</v>
      </c>
      <c r="F39" s="6" t="str">
        <f t="shared" si="1"/>
        <v>大专</v>
      </c>
      <c r="G39" s="6" t="s">
        <v>11</v>
      </c>
      <c r="H39" s="6" t="str">
        <f t="shared" si="17"/>
        <v>海南科技职业大学</v>
      </c>
      <c r="I39" s="6" t="str">
        <f t="shared" si="16"/>
        <v>护士资格证</v>
      </c>
    </row>
    <row r="40" spans="1:9" s="1" customFormat="1" ht="30" customHeight="1">
      <c r="A40" s="6">
        <v>38</v>
      </c>
      <c r="B40" s="6" t="s">
        <v>10</v>
      </c>
      <c r="C40" s="6" t="str">
        <f>"陈根"</f>
        <v>陈根</v>
      </c>
      <c r="D40" s="6" t="str">
        <f t="shared" si="14"/>
        <v>女</v>
      </c>
      <c r="E40" s="6" t="str">
        <f>"2002-10-26"</f>
        <v>2002-10-26</v>
      </c>
      <c r="F40" s="6" t="str">
        <f t="shared" si="1"/>
        <v>大专</v>
      </c>
      <c r="G40" s="6" t="str">
        <f t="shared" si="18"/>
        <v>护理</v>
      </c>
      <c r="H40" s="6" t="str">
        <f t="shared" si="17"/>
        <v>海南科技职业大学</v>
      </c>
      <c r="I40" s="6" t="str">
        <f t="shared" si="16"/>
        <v>护士资格证</v>
      </c>
    </row>
    <row r="41" spans="1:9" s="1" customFormat="1" ht="30" customHeight="1">
      <c r="A41" s="6">
        <v>39</v>
      </c>
      <c r="B41" s="6" t="s">
        <v>10</v>
      </c>
      <c r="C41" s="6" t="str">
        <f>"何池"</f>
        <v>何池</v>
      </c>
      <c r="D41" s="6" t="str">
        <f t="shared" si="14"/>
        <v>女</v>
      </c>
      <c r="E41" s="6" t="str">
        <f>"1996-01-02"</f>
        <v>1996-01-02</v>
      </c>
      <c r="F41" s="6" t="str">
        <f t="shared" si="1"/>
        <v>大专</v>
      </c>
      <c r="G41" s="6" t="str">
        <f t="shared" si="18"/>
        <v>护理</v>
      </c>
      <c r="H41" s="6" t="str">
        <f>"海南医学院"</f>
        <v>海南医学院</v>
      </c>
      <c r="I41" s="6" t="str">
        <f aca="true" t="shared" si="19" ref="I41:I48">"护士资格证"</f>
        <v>护士资格证</v>
      </c>
    </row>
    <row r="42" spans="1:9" s="1" customFormat="1" ht="30" customHeight="1">
      <c r="A42" s="6">
        <v>40</v>
      </c>
      <c r="B42" s="6" t="s">
        <v>10</v>
      </c>
      <c r="C42" s="6" t="str">
        <f>"陈爱"</f>
        <v>陈爱</v>
      </c>
      <c r="D42" s="6" t="str">
        <f t="shared" si="14"/>
        <v>女</v>
      </c>
      <c r="E42" s="6" t="str">
        <f>"1999-09-29"</f>
        <v>1999-09-29</v>
      </c>
      <c r="F42" s="6" t="str">
        <f t="shared" si="1"/>
        <v>大专</v>
      </c>
      <c r="G42" s="6" t="str">
        <f t="shared" si="18"/>
        <v>护理</v>
      </c>
      <c r="H42" s="6" t="str">
        <f>"江西科技学院"</f>
        <v>江西科技学院</v>
      </c>
      <c r="I42" s="6" t="str">
        <f t="shared" si="19"/>
        <v>护士资格证</v>
      </c>
    </row>
    <row r="43" spans="1:9" s="1" customFormat="1" ht="30" customHeight="1">
      <c r="A43" s="6">
        <v>41</v>
      </c>
      <c r="B43" s="6" t="s">
        <v>10</v>
      </c>
      <c r="C43" s="6" t="str">
        <f>"王英敏"</f>
        <v>王英敏</v>
      </c>
      <c r="D43" s="6" t="str">
        <f t="shared" si="14"/>
        <v>女</v>
      </c>
      <c r="E43" s="6" t="str">
        <f>"2001-06-04"</f>
        <v>2001-06-04</v>
      </c>
      <c r="F43" s="6" t="str">
        <f t="shared" si="1"/>
        <v>大专</v>
      </c>
      <c r="G43" s="6" t="str">
        <f t="shared" si="18"/>
        <v>护理</v>
      </c>
      <c r="H43" s="6" t="str">
        <f>"海南科技职业大学"</f>
        <v>海南科技职业大学</v>
      </c>
      <c r="I43" s="6" t="str">
        <f t="shared" si="19"/>
        <v>护士资格证</v>
      </c>
    </row>
    <row r="44" spans="1:9" s="1" customFormat="1" ht="30" customHeight="1">
      <c r="A44" s="6">
        <v>42</v>
      </c>
      <c r="B44" s="6" t="s">
        <v>10</v>
      </c>
      <c r="C44" s="6" t="str">
        <f>"陈怡"</f>
        <v>陈怡</v>
      </c>
      <c r="D44" s="6" t="str">
        <f t="shared" si="14"/>
        <v>女</v>
      </c>
      <c r="E44" s="6" t="str">
        <f>"1993-10-03"</f>
        <v>1993-10-03</v>
      </c>
      <c r="F44" s="6" t="str">
        <f t="shared" si="1"/>
        <v>大专</v>
      </c>
      <c r="G44" s="6" t="str">
        <f aca="true" t="shared" si="20" ref="G44:G48">"护理学"</f>
        <v>护理学</v>
      </c>
      <c r="H44" s="6" t="str">
        <f>"海南医学院"</f>
        <v>海南医学院</v>
      </c>
      <c r="I44" s="6" t="str">
        <f t="shared" si="19"/>
        <v>护士资格证</v>
      </c>
    </row>
    <row r="45" spans="1:9" s="1" customFormat="1" ht="30" customHeight="1">
      <c r="A45" s="6">
        <v>43</v>
      </c>
      <c r="B45" s="6" t="s">
        <v>10</v>
      </c>
      <c r="C45" s="6" t="str">
        <f>"王小丽"</f>
        <v>王小丽</v>
      </c>
      <c r="D45" s="6" t="str">
        <f t="shared" si="14"/>
        <v>女</v>
      </c>
      <c r="E45" s="6" t="str">
        <f>"1995-06-11"</f>
        <v>1995-06-11</v>
      </c>
      <c r="F45" s="6" t="str">
        <f t="shared" si="1"/>
        <v>大专</v>
      </c>
      <c r="G45" s="6" t="str">
        <f t="shared" si="20"/>
        <v>护理学</v>
      </c>
      <c r="H45" s="6" t="str">
        <f>"海南省第二卫生学校"</f>
        <v>海南省第二卫生学校</v>
      </c>
      <c r="I45" s="6" t="str">
        <f t="shared" si="19"/>
        <v>护士资格证</v>
      </c>
    </row>
    <row r="46" spans="1:9" s="1" customFormat="1" ht="30" customHeight="1">
      <c r="A46" s="6">
        <v>44</v>
      </c>
      <c r="B46" s="6" t="s">
        <v>10</v>
      </c>
      <c r="C46" s="6" t="str">
        <f>"陈妹桃"</f>
        <v>陈妹桃</v>
      </c>
      <c r="D46" s="6" t="str">
        <f t="shared" si="14"/>
        <v>女</v>
      </c>
      <c r="E46" s="6" t="str">
        <f>"2000-09-24"</f>
        <v>2000-09-24</v>
      </c>
      <c r="F46" s="6" t="str">
        <f t="shared" si="1"/>
        <v>大专</v>
      </c>
      <c r="G46" s="6" t="str">
        <f>"护理"</f>
        <v>护理</v>
      </c>
      <c r="H46" s="6" t="str">
        <f>"湖北职业技术学院"</f>
        <v>湖北职业技术学院</v>
      </c>
      <c r="I46" s="6" t="str">
        <f t="shared" si="19"/>
        <v>护士资格证</v>
      </c>
    </row>
    <row r="47" spans="1:9" s="1" customFormat="1" ht="30" customHeight="1">
      <c r="A47" s="6">
        <v>45</v>
      </c>
      <c r="B47" s="6" t="s">
        <v>10</v>
      </c>
      <c r="C47" s="6" t="str">
        <f>"高丽贞"</f>
        <v>高丽贞</v>
      </c>
      <c r="D47" s="6" t="str">
        <f t="shared" si="14"/>
        <v>女</v>
      </c>
      <c r="E47" s="6" t="str">
        <f>"1998-02-24"</f>
        <v>1998-02-24</v>
      </c>
      <c r="F47" s="6" t="str">
        <f t="shared" si="1"/>
        <v>大专</v>
      </c>
      <c r="G47" s="6" t="str">
        <f>"助产"</f>
        <v>助产</v>
      </c>
      <c r="H47" s="6" t="str">
        <f>"海南医学院"</f>
        <v>海南医学院</v>
      </c>
      <c r="I47" s="6" t="str">
        <f t="shared" si="19"/>
        <v>护士资格证</v>
      </c>
    </row>
    <row r="48" spans="1:9" s="1" customFormat="1" ht="30" customHeight="1">
      <c r="A48" s="6">
        <v>46</v>
      </c>
      <c r="B48" s="6" t="s">
        <v>10</v>
      </c>
      <c r="C48" s="6" t="str">
        <f>"陈佳云"</f>
        <v>陈佳云</v>
      </c>
      <c r="D48" s="6" t="str">
        <f t="shared" si="14"/>
        <v>女</v>
      </c>
      <c r="E48" s="6" t="str">
        <f>"1997-08-09"</f>
        <v>1997-08-09</v>
      </c>
      <c r="F48" s="6" t="str">
        <f t="shared" si="1"/>
        <v>大专</v>
      </c>
      <c r="G48" s="6" t="str">
        <f t="shared" si="20"/>
        <v>护理学</v>
      </c>
      <c r="H48" s="6" t="str">
        <f aca="true" t="shared" si="21" ref="H48:H53">"海南科技职业大学"</f>
        <v>海南科技职业大学</v>
      </c>
      <c r="I48" s="6" t="str">
        <f t="shared" si="19"/>
        <v>护士资格证</v>
      </c>
    </row>
    <row r="49" spans="1:9" s="1" customFormat="1" ht="30" customHeight="1">
      <c r="A49" s="6">
        <v>47</v>
      </c>
      <c r="B49" s="6" t="s">
        <v>10</v>
      </c>
      <c r="C49" s="6" t="str">
        <f>"陈云梅"</f>
        <v>陈云梅</v>
      </c>
      <c r="D49" s="6" t="str">
        <f t="shared" si="14"/>
        <v>女</v>
      </c>
      <c r="E49" s="6" t="str">
        <f>"1998-09-06"</f>
        <v>1998-09-06</v>
      </c>
      <c r="F49" s="6" t="str">
        <f t="shared" si="1"/>
        <v>大专</v>
      </c>
      <c r="G49" s="6" t="s">
        <v>11</v>
      </c>
      <c r="H49" s="6" t="str">
        <f>"淮北职业技术学院"</f>
        <v>淮北职业技术学院</v>
      </c>
      <c r="I49" s="6" t="str">
        <f aca="true" t="shared" si="22" ref="I49:I62">"护士资格证"</f>
        <v>护士资格证</v>
      </c>
    </row>
    <row r="50" spans="1:9" s="1" customFormat="1" ht="30" customHeight="1">
      <c r="A50" s="6">
        <v>48</v>
      </c>
      <c r="B50" s="6" t="s">
        <v>10</v>
      </c>
      <c r="C50" s="6" t="str">
        <f>"徐诗梦"</f>
        <v>徐诗梦</v>
      </c>
      <c r="D50" s="6" t="str">
        <f t="shared" si="14"/>
        <v>女</v>
      </c>
      <c r="E50" s="6" t="str">
        <f>"1998-05-02"</f>
        <v>1998-05-02</v>
      </c>
      <c r="F50" s="6" t="str">
        <f t="shared" si="1"/>
        <v>大专</v>
      </c>
      <c r="G50" s="6" t="str">
        <f>"护理学"</f>
        <v>护理学</v>
      </c>
      <c r="H50" s="6" t="str">
        <f>"鄂州职业大学"</f>
        <v>鄂州职业大学</v>
      </c>
      <c r="I50" s="6" t="str">
        <f t="shared" si="22"/>
        <v>护士资格证</v>
      </c>
    </row>
    <row r="51" spans="1:9" s="1" customFormat="1" ht="30" customHeight="1">
      <c r="A51" s="6">
        <v>49</v>
      </c>
      <c r="B51" s="6" t="s">
        <v>10</v>
      </c>
      <c r="C51" s="6" t="str">
        <f>"李青美"</f>
        <v>李青美</v>
      </c>
      <c r="D51" s="6" t="str">
        <f t="shared" si="14"/>
        <v>女</v>
      </c>
      <c r="E51" s="6" t="str">
        <f>"1995-02-15"</f>
        <v>1995-02-15</v>
      </c>
      <c r="F51" s="6" t="str">
        <f t="shared" si="1"/>
        <v>大专</v>
      </c>
      <c r="G51" s="6" t="str">
        <f aca="true" t="shared" si="23" ref="G51:G55">"护理"</f>
        <v>护理</v>
      </c>
      <c r="H51" s="6" t="str">
        <f>"海南医学院"</f>
        <v>海南医学院</v>
      </c>
      <c r="I51" s="6" t="str">
        <f>"初级护理学"</f>
        <v>初级护理学</v>
      </c>
    </row>
    <row r="52" spans="1:9" s="1" customFormat="1" ht="30" customHeight="1">
      <c r="A52" s="6">
        <v>50</v>
      </c>
      <c r="B52" s="6" t="s">
        <v>10</v>
      </c>
      <c r="C52" s="6" t="str">
        <f>"李尚妹"</f>
        <v>李尚妹</v>
      </c>
      <c r="D52" s="6" t="str">
        <f t="shared" si="14"/>
        <v>女</v>
      </c>
      <c r="E52" s="6" t="str">
        <f>"1997-05-12"</f>
        <v>1997-05-12</v>
      </c>
      <c r="F52" s="6" t="str">
        <f t="shared" si="1"/>
        <v>大专</v>
      </c>
      <c r="G52" s="6" t="str">
        <f t="shared" si="23"/>
        <v>护理</v>
      </c>
      <c r="H52" s="6" t="str">
        <f t="shared" si="21"/>
        <v>海南科技职业大学</v>
      </c>
      <c r="I52" s="6" t="str">
        <f>"护士资格证"</f>
        <v>护士资格证</v>
      </c>
    </row>
    <row r="53" spans="1:9" s="1" customFormat="1" ht="30" customHeight="1">
      <c r="A53" s="6">
        <v>51</v>
      </c>
      <c r="B53" s="6" t="s">
        <v>10</v>
      </c>
      <c r="C53" s="6" t="str">
        <f>"符小丽"</f>
        <v>符小丽</v>
      </c>
      <c r="D53" s="6" t="str">
        <f t="shared" si="14"/>
        <v>女</v>
      </c>
      <c r="E53" s="6" t="str">
        <f>"1999-01-28"</f>
        <v>1999-01-28</v>
      </c>
      <c r="F53" s="6" t="str">
        <f t="shared" si="1"/>
        <v>大专</v>
      </c>
      <c r="G53" s="6" t="str">
        <f t="shared" si="23"/>
        <v>护理</v>
      </c>
      <c r="H53" s="6" t="str">
        <f t="shared" si="21"/>
        <v>海南科技职业大学</v>
      </c>
      <c r="I53" s="6" t="str">
        <f>"护士资格证"</f>
        <v>护士资格证</v>
      </c>
    </row>
    <row r="54" spans="1:9" s="1" customFormat="1" ht="30" customHeight="1">
      <c r="A54" s="6">
        <v>52</v>
      </c>
      <c r="B54" s="6" t="s">
        <v>10</v>
      </c>
      <c r="C54" s="6" t="str">
        <f>"陈亚花"</f>
        <v>陈亚花</v>
      </c>
      <c r="D54" s="6" t="str">
        <f t="shared" si="14"/>
        <v>女</v>
      </c>
      <c r="E54" s="6" t="str">
        <f>"1994-12-09"</f>
        <v>1994-12-09</v>
      </c>
      <c r="F54" s="6" t="str">
        <f t="shared" si="1"/>
        <v>大专</v>
      </c>
      <c r="G54" s="6" t="str">
        <f t="shared" si="23"/>
        <v>护理</v>
      </c>
      <c r="H54" s="6" t="str">
        <f>"武汉民政职业学院"</f>
        <v>武汉民政职业学院</v>
      </c>
      <c r="I54" s="6" t="str">
        <f t="shared" si="22"/>
        <v>护士资格证</v>
      </c>
    </row>
    <row r="55" spans="1:9" s="1" customFormat="1" ht="30" customHeight="1">
      <c r="A55" s="6">
        <v>53</v>
      </c>
      <c r="B55" s="6" t="s">
        <v>10</v>
      </c>
      <c r="C55" s="6" t="str">
        <f>"陈巧凤"</f>
        <v>陈巧凤</v>
      </c>
      <c r="D55" s="6" t="str">
        <f t="shared" si="14"/>
        <v>女</v>
      </c>
      <c r="E55" s="6" t="str">
        <f>"1999-08-10"</f>
        <v>1999-08-10</v>
      </c>
      <c r="F55" s="6" t="str">
        <f t="shared" si="1"/>
        <v>大专</v>
      </c>
      <c r="G55" s="6" t="str">
        <f t="shared" si="23"/>
        <v>护理</v>
      </c>
      <c r="H55" s="6" t="str">
        <f>"海南科技职业大学"</f>
        <v>海南科技职业大学</v>
      </c>
      <c r="I55" s="6" t="str">
        <f t="shared" si="22"/>
        <v>护士资格证</v>
      </c>
    </row>
    <row r="56" spans="1:9" s="1" customFormat="1" ht="30" customHeight="1">
      <c r="A56" s="6">
        <v>54</v>
      </c>
      <c r="B56" s="6" t="s">
        <v>10</v>
      </c>
      <c r="C56" s="6" t="str">
        <f>"林瑞莲"</f>
        <v>林瑞莲</v>
      </c>
      <c r="D56" s="6" t="str">
        <f t="shared" si="14"/>
        <v>女</v>
      </c>
      <c r="E56" s="6" t="str">
        <f>"1995-08-31"</f>
        <v>1995-08-31</v>
      </c>
      <c r="F56" s="6" t="str">
        <f t="shared" si="1"/>
        <v>大专</v>
      </c>
      <c r="G56" s="6" t="str">
        <f>"护理学"</f>
        <v>护理学</v>
      </c>
      <c r="H56" s="6" t="str">
        <f>"海南医学院"</f>
        <v>海南医学院</v>
      </c>
      <c r="I56" s="6" t="str">
        <f t="shared" si="22"/>
        <v>护士资格证</v>
      </c>
    </row>
    <row r="57" spans="1:9" s="1" customFormat="1" ht="30" customHeight="1">
      <c r="A57" s="6">
        <v>55</v>
      </c>
      <c r="B57" s="6" t="s">
        <v>10</v>
      </c>
      <c r="C57" s="6" t="str">
        <f>"黄冬影"</f>
        <v>黄冬影</v>
      </c>
      <c r="D57" s="6" t="str">
        <f t="shared" si="14"/>
        <v>女</v>
      </c>
      <c r="E57" s="6" t="str">
        <f>"1993-10-18"</f>
        <v>1993-10-18</v>
      </c>
      <c r="F57" s="6" t="str">
        <f t="shared" si="1"/>
        <v>大专</v>
      </c>
      <c r="G57" s="6" t="str">
        <f aca="true" t="shared" si="24" ref="G57:G61">"护理"</f>
        <v>护理</v>
      </c>
      <c r="H57" s="6" t="str">
        <f>"哈尔滨医科大学"</f>
        <v>哈尔滨医科大学</v>
      </c>
      <c r="I57" s="6" t="str">
        <f t="shared" si="22"/>
        <v>护士资格证</v>
      </c>
    </row>
    <row r="58" spans="1:9" s="1" customFormat="1" ht="30" customHeight="1">
      <c r="A58" s="6">
        <v>56</v>
      </c>
      <c r="B58" s="6" t="s">
        <v>10</v>
      </c>
      <c r="C58" s="6" t="str">
        <f>"吴学燕"</f>
        <v>吴学燕</v>
      </c>
      <c r="D58" s="6" t="str">
        <f t="shared" si="14"/>
        <v>女</v>
      </c>
      <c r="E58" s="6" t="str">
        <f>"1996-12-14"</f>
        <v>1996-12-14</v>
      </c>
      <c r="F58" s="6" t="str">
        <f t="shared" si="1"/>
        <v>大专</v>
      </c>
      <c r="G58" s="6" t="s">
        <v>11</v>
      </c>
      <c r="H58" s="6" t="str">
        <f>"邢台医学高等专科学校"</f>
        <v>邢台医学高等专科学校</v>
      </c>
      <c r="I58" s="6" t="str">
        <f t="shared" si="22"/>
        <v>护士资格证</v>
      </c>
    </row>
    <row r="59" spans="1:9" s="1" customFormat="1" ht="30" customHeight="1">
      <c r="A59" s="6">
        <v>57</v>
      </c>
      <c r="B59" s="6" t="s">
        <v>10</v>
      </c>
      <c r="C59" s="6" t="str">
        <f>"吴燕珠"</f>
        <v>吴燕珠</v>
      </c>
      <c r="D59" s="6" t="str">
        <f t="shared" si="14"/>
        <v>女</v>
      </c>
      <c r="E59" s="6" t="str">
        <f>"2003-04-09"</f>
        <v>2003-04-09</v>
      </c>
      <c r="F59" s="6" t="str">
        <f t="shared" si="1"/>
        <v>大专</v>
      </c>
      <c r="G59" s="6" t="str">
        <f t="shared" si="24"/>
        <v>护理</v>
      </c>
      <c r="H59" s="6" t="str">
        <f>"黔南民族医学高等专科学校"</f>
        <v>黔南民族医学高等专科学校</v>
      </c>
      <c r="I59" s="6" t="str">
        <f t="shared" si="22"/>
        <v>护士资格证</v>
      </c>
    </row>
    <row r="60" spans="1:9" s="1" customFormat="1" ht="30" customHeight="1">
      <c r="A60" s="6">
        <v>58</v>
      </c>
      <c r="B60" s="6" t="s">
        <v>10</v>
      </c>
      <c r="C60" s="6" t="str">
        <f>"吉晓璐"</f>
        <v>吉晓璐</v>
      </c>
      <c r="D60" s="6" t="str">
        <f t="shared" si="14"/>
        <v>女</v>
      </c>
      <c r="E60" s="6" t="str">
        <f>"1996-04-06"</f>
        <v>1996-04-06</v>
      </c>
      <c r="F60" s="6" t="str">
        <f t="shared" si="1"/>
        <v>大专</v>
      </c>
      <c r="G60" s="6" t="str">
        <f t="shared" si="24"/>
        <v>护理</v>
      </c>
      <c r="H60" s="6" t="str">
        <f>"临汾职业技术学院"</f>
        <v>临汾职业技术学院</v>
      </c>
      <c r="I60" s="6" t="str">
        <f t="shared" si="22"/>
        <v>护士资格证</v>
      </c>
    </row>
    <row r="61" spans="1:9" s="1" customFormat="1" ht="30" customHeight="1">
      <c r="A61" s="6">
        <v>59</v>
      </c>
      <c r="B61" s="6" t="s">
        <v>10</v>
      </c>
      <c r="C61" s="6" t="str">
        <f>"吉璐璐"</f>
        <v>吉璐璐</v>
      </c>
      <c r="D61" s="6" t="str">
        <f t="shared" si="14"/>
        <v>女</v>
      </c>
      <c r="E61" s="6" t="str">
        <f>"1996-04-06"</f>
        <v>1996-04-06</v>
      </c>
      <c r="F61" s="6" t="str">
        <f t="shared" si="1"/>
        <v>大专</v>
      </c>
      <c r="G61" s="6" t="str">
        <f t="shared" si="24"/>
        <v>护理</v>
      </c>
      <c r="H61" s="6" t="str">
        <f>"武汉民政职业学院"</f>
        <v>武汉民政职业学院</v>
      </c>
      <c r="I61" s="6" t="str">
        <f t="shared" si="22"/>
        <v>护士资格证</v>
      </c>
    </row>
    <row r="62" spans="1:9" s="1" customFormat="1" ht="30" customHeight="1">
      <c r="A62" s="6">
        <v>60</v>
      </c>
      <c r="B62" s="6" t="s">
        <v>10</v>
      </c>
      <c r="C62" s="6" t="str">
        <f>"林娆娆"</f>
        <v>林娆娆</v>
      </c>
      <c r="D62" s="6" t="str">
        <f t="shared" si="14"/>
        <v>女</v>
      </c>
      <c r="E62" s="6" t="str">
        <f>"1998-01-24"</f>
        <v>1998-01-24</v>
      </c>
      <c r="F62" s="6" t="str">
        <f t="shared" si="1"/>
        <v>大专</v>
      </c>
      <c r="G62" s="6" t="str">
        <f>"护理学"</f>
        <v>护理学</v>
      </c>
      <c r="H62" s="6" t="str">
        <f>"海南科技职业大学"</f>
        <v>海南科技职业大学</v>
      </c>
      <c r="I62" s="6" t="str">
        <f t="shared" si="22"/>
        <v>护士资格证</v>
      </c>
    </row>
    <row r="63" spans="1:9" s="1" customFormat="1" ht="30" customHeight="1">
      <c r="A63" s="6">
        <v>61</v>
      </c>
      <c r="B63" s="6" t="s">
        <v>10</v>
      </c>
      <c r="C63" s="6" t="str">
        <f>"王学英"</f>
        <v>王学英</v>
      </c>
      <c r="D63" s="6" t="str">
        <f t="shared" si="14"/>
        <v>女</v>
      </c>
      <c r="E63" s="6" t="str">
        <f>"1999-04-18"</f>
        <v>1999-04-18</v>
      </c>
      <c r="F63" s="6" t="str">
        <f t="shared" si="1"/>
        <v>大专</v>
      </c>
      <c r="G63" s="6" t="str">
        <f aca="true" t="shared" si="25" ref="G63:G69">"护理"</f>
        <v>护理</v>
      </c>
      <c r="H63" s="6" t="str">
        <f>"海南科技职业大学"</f>
        <v>海南科技职业大学</v>
      </c>
      <c r="I63" s="6" t="str">
        <f aca="true" t="shared" si="26" ref="I60:I72">"护士资格证"</f>
        <v>护士资格证</v>
      </c>
    </row>
    <row r="64" spans="1:9" s="1" customFormat="1" ht="30" customHeight="1">
      <c r="A64" s="6">
        <v>62</v>
      </c>
      <c r="B64" s="6" t="s">
        <v>10</v>
      </c>
      <c r="C64" s="6" t="str">
        <f>"王朝丽"</f>
        <v>王朝丽</v>
      </c>
      <c r="D64" s="6" t="str">
        <f t="shared" si="14"/>
        <v>女</v>
      </c>
      <c r="E64" s="6" t="str">
        <f>"1999-07-12"</f>
        <v>1999-07-12</v>
      </c>
      <c r="F64" s="6" t="str">
        <f t="shared" si="1"/>
        <v>大专</v>
      </c>
      <c r="G64" s="6" t="s">
        <v>11</v>
      </c>
      <c r="H64" s="6" t="str">
        <f>"惠州卫生职业技术学院"</f>
        <v>惠州卫生职业技术学院</v>
      </c>
      <c r="I64" s="6" t="str">
        <f t="shared" si="26"/>
        <v>护士资格证</v>
      </c>
    </row>
    <row r="65" spans="1:9" s="1" customFormat="1" ht="30" customHeight="1">
      <c r="A65" s="6">
        <v>63</v>
      </c>
      <c r="B65" s="6" t="s">
        <v>10</v>
      </c>
      <c r="C65" s="6" t="str">
        <f>"林琼帅"</f>
        <v>林琼帅</v>
      </c>
      <c r="D65" s="6" t="str">
        <f>"男"</f>
        <v>男</v>
      </c>
      <c r="E65" s="6" t="str">
        <f>"1999-06-23"</f>
        <v>1999-06-23</v>
      </c>
      <c r="F65" s="6" t="str">
        <f t="shared" si="1"/>
        <v>大专</v>
      </c>
      <c r="G65" s="6" t="str">
        <f t="shared" si="25"/>
        <v>护理</v>
      </c>
      <c r="H65" s="6" t="str">
        <f>"常德职业技术学院"</f>
        <v>常德职业技术学院</v>
      </c>
      <c r="I65" s="6" t="str">
        <f t="shared" si="26"/>
        <v>护士资格证</v>
      </c>
    </row>
    <row r="66" spans="1:9" s="1" customFormat="1" ht="30" customHeight="1">
      <c r="A66" s="6">
        <v>64</v>
      </c>
      <c r="B66" s="6" t="s">
        <v>10</v>
      </c>
      <c r="C66" s="6" t="str">
        <f>"张慧丽"</f>
        <v>张慧丽</v>
      </c>
      <c r="D66" s="6" t="str">
        <f aca="true" t="shared" si="27" ref="D66:D129">"女"</f>
        <v>女</v>
      </c>
      <c r="E66" s="6" t="str">
        <f>"1995-01-13"</f>
        <v>1995-01-13</v>
      </c>
      <c r="F66" s="6" t="str">
        <f>"本科"</f>
        <v>本科</v>
      </c>
      <c r="G66" s="6" t="str">
        <f>"护理学"</f>
        <v>护理学</v>
      </c>
      <c r="H66" s="6" t="str">
        <f>"湖北民族大学科技学院"</f>
        <v>湖北民族大学科技学院</v>
      </c>
      <c r="I66" s="6" t="str">
        <f t="shared" si="26"/>
        <v>护士资格证</v>
      </c>
    </row>
    <row r="67" spans="1:9" s="1" customFormat="1" ht="30" customHeight="1">
      <c r="A67" s="6">
        <v>65</v>
      </c>
      <c r="B67" s="6" t="s">
        <v>10</v>
      </c>
      <c r="C67" s="6" t="str">
        <f>"王雪丹"</f>
        <v>王雪丹</v>
      </c>
      <c r="D67" s="6" t="str">
        <f t="shared" si="27"/>
        <v>女</v>
      </c>
      <c r="E67" s="6" t="str">
        <f>"1995-02-05"</f>
        <v>1995-02-05</v>
      </c>
      <c r="F67" s="6" t="str">
        <f aca="true" t="shared" si="28" ref="F67:F70">"大专"</f>
        <v>大专</v>
      </c>
      <c r="G67" s="6" t="str">
        <f t="shared" si="25"/>
        <v>护理</v>
      </c>
      <c r="H67" s="6" t="str">
        <f>"海南省第三卫生学校"</f>
        <v>海南省第三卫生学校</v>
      </c>
      <c r="I67" s="6" t="str">
        <f t="shared" si="26"/>
        <v>护士资格证</v>
      </c>
    </row>
    <row r="68" spans="1:9" s="1" customFormat="1" ht="30" customHeight="1">
      <c r="A68" s="6">
        <v>66</v>
      </c>
      <c r="B68" s="6" t="s">
        <v>10</v>
      </c>
      <c r="C68" s="6" t="str">
        <f>"许琼菊"</f>
        <v>许琼菊</v>
      </c>
      <c r="D68" s="6" t="str">
        <f t="shared" si="27"/>
        <v>女</v>
      </c>
      <c r="E68" s="6" t="str">
        <f>"2000-06-10"</f>
        <v>2000-06-10</v>
      </c>
      <c r="F68" s="6" t="str">
        <f t="shared" si="28"/>
        <v>大专</v>
      </c>
      <c r="G68" s="6" t="str">
        <f t="shared" si="25"/>
        <v>护理</v>
      </c>
      <c r="H68" s="6" t="str">
        <f aca="true" t="shared" si="29" ref="H68:H72">"海南医学院"</f>
        <v>海南医学院</v>
      </c>
      <c r="I68" s="6" t="str">
        <f t="shared" si="26"/>
        <v>护士资格证</v>
      </c>
    </row>
    <row r="69" spans="1:9" s="1" customFormat="1" ht="30" customHeight="1">
      <c r="A69" s="6">
        <v>67</v>
      </c>
      <c r="B69" s="6" t="s">
        <v>10</v>
      </c>
      <c r="C69" s="6" t="str">
        <f>"钟丹萍"</f>
        <v>钟丹萍</v>
      </c>
      <c r="D69" s="6" t="str">
        <f t="shared" si="27"/>
        <v>女</v>
      </c>
      <c r="E69" s="6" t="str">
        <f>"1996-04-06"</f>
        <v>1996-04-06</v>
      </c>
      <c r="F69" s="6" t="str">
        <f t="shared" si="28"/>
        <v>大专</v>
      </c>
      <c r="G69" s="6" t="str">
        <f t="shared" si="25"/>
        <v>护理</v>
      </c>
      <c r="H69" s="6" t="str">
        <f>"广西卫生职业技术学院"</f>
        <v>广西卫生职业技术学院</v>
      </c>
      <c r="I69" s="6" t="str">
        <f t="shared" si="26"/>
        <v>护士资格证</v>
      </c>
    </row>
    <row r="70" spans="1:9" s="1" customFormat="1" ht="30" customHeight="1">
      <c r="A70" s="6">
        <v>68</v>
      </c>
      <c r="B70" s="6" t="s">
        <v>10</v>
      </c>
      <c r="C70" s="6" t="str">
        <f>"龙亚霞"</f>
        <v>龙亚霞</v>
      </c>
      <c r="D70" s="6" t="str">
        <f t="shared" si="27"/>
        <v>女</v>
      </c>
      <c r="E70" s="6" t="str">
        <f>"1997-01-18"</f>
        <v>1997-01-18</v>
      </c>
      <c r="F70" s="6" t="str">
        <f t="shared" si="28"/>
        <v>大专</v>
      </c>
      <c r="G70" s="6" t="s">
        <v>11</v>
      </c>
      <c r="H70" s="6" t="str">
        <f t="shared" si="29"/>
        <v>海南医学院</v>
      </c>
      <c r="I70" s="6" t="str">
        <f t="shared" si="26"/>
        <v>护士资格证</v>
      </c>
    </row>
    <row r="71" spans="1:9" s="1" customFormat="1" ht="30" customHeight="1">
      <c r="A71" s="6">
        <v>69</v>
      </c>
      <c r="B71" s="6" t="s">
        <v>10</v>
      </c>
      <c r="C71" s="6" t="str">
        <f>"申泽英"</f>
        <v>申泽英</v>
      </c>
      <c r="D71" s="6" t="str">
        <f t="shared" si="27"/>
        <v>女</v>
      </c>
      <c r="E71" s="6" t="str">
        <f>"1996-11-24"</f>
        <v>1996-11-24</v>
      </c>
      <c r="F71" s="6" t="str">
        <f>"本科"</f>
        <v>本科</v>
      </c>
      <c r="G71" s="6" t="str">
        <f>"护理学"</f>
        <v>护理学</v>
      </c>
      <c r="H71" s="6" t="str">
        <f>"山东现代学院"</f>
        <v>山东现代学院</v>
      </c>
      <c r="I71" s="6" t="str">
        <f t="shared" si="26"/>
        <v>护士资格证</v>
      </c>
    </row>
    <row r="72" spans="1:9" s="1" customFormat="1" ht="30" customHeight="1">
      <c r="A72" s="6">
        <v>70</v>
      </c>
      <c r="B72" s="6" t="s">
        <v>10</v>
      </c>
      <c r="C72" s="6" t="str">
        <f>"钟新宇"</f>
        <v>钟新宇</v>
      </c>
      <c r="D72" s="6" t="str">
        <f t="shared" si="27"/>
        <v>女</v>
      </c>
      <c r="E72" s="6" t="str">
        <f>"1999-03-10"</f>
        <v>1999-03-10</v>
      </c>
      <c r="F72" s="6" t="str">
        <f aca="true" t="shared" si="30" ref="F72:F109">"大专"</f>
        <v>大专</v>
      </c>
      <c r="G72" s="6" t="str">
        <f>"护理学"</f>
        <v>护理学</v>
      </c>
      <c r="H72" s="6" t="str">
        <f t="shared" si="29"/>
        <v>海南医学院</v>
      </c>
      <c r="I72" s="6" t="str">
        <f t="shared" si="26"/>
        <v>护士资格证</v>
      </c>
    </row>
    <row r="73" spans="1:9" s="1" customFormat="1" ht="30" customHeight="1">
      <c r="A73" s="6">
        <v>71</v>
      </c>
      <c r="B73" s="6" t="s">
        <v>10</v>
      </c>
      <c r="C73" s="6" t="str">
        <f>"黄娟"</f>
        <v>黄娟</v>
      </c>
      <c r="D73" s="6" t="str">
        <f t="shared" si="27"/>
        <v>女</v>
      </c>
      <c r="E73" s="6" t="str">
        <f>"1996-07-20"</f>
        <v>1996-07-20</v>
      </c>
      <c r="F73" s="6" t="str">
        <f t="shared" si="30"/>
        <v>大专</v>
      </c>
      <c r="G73" s="6" t="str">
        <f aca="true" t="shared" si="31" ref="G73:G78">"护理"</f>
        <v>护理</v>
      </c>
      <c r="H73" s="6" t="str">
        <f>"长沙医学院"</f>
        <v>长沙医学院</v>
      </c>
      <c r="I73" s="6" t="str">
        <f aca="true" t="shared" si="32" ref="I73:I75">"护士资格证"</f>
        <v>护士资格证</v>
      </c>
    </row>
    <row r="74" spans="1:9" s="1" customFormat="1" ht="30" customHeight="1">
      <c r="A74" s="6">
        <v>72</v>
      </c>
      <c r="B74" s="6" t="s">
        <v>10</v>
      </c>
      <c r="C74" s="6" t="str">
        <f>"何秀玲"</f>
        <v>何秀玲</v>
      </c>
      <c r="D74" s="6" t="str">
        <f t="shared" si="27"/>
        <v>女</v>
      </c>
      <c r="E74" s="6" t="str">
        <f>"1998-02-26"</f>
        <v>1998-02-26</v>
      </c>
      <c r="F74" s="6" t="str">
        <f t="shared" si="30"/>
        <v>大专</v>
      </c>
      <c r="G74" s="6" t="str">
        <f t="shared" si="31"/>
        <v>护理</v>
      </c>
      <c r="H74" s="6" t="str">
        <f>"遵义医药高等专科学校"</f>
        <v>遵义医药高等专科学校</v>
      </c>
      <c r="I74" s="6" t="str">
        <f t="shared" si="32"/>
        <v>护士资格证</v>
      </c>
    </row>
    <row r="75" spans="1:9" s="1" customFormat="1" ht="30" customHeight="1">
      <c r="A75" s="6">
        <v>73</v>
      </c>
      <c r="B75" s="6" t="s">
        <v>10</v>
      </c>
      <c r="C75" s="6" t="str">
        <f>"陈燕霞"</f>
        <v>陈燕霞</v>
      </c>
      <c r="D75" s="6" t="str">
        <f t="shared" si="27"/>
        <v>女</v>
      </c>
      <c r="E75" s="6" t="str">
        <f>"1997-12-03"</f>
        <v>1997-12-03</v>
      </c>
      <c r="F75" s="6" t="str">
        <f t="shared" si="30"/>
        <v>大专</v>
      </c>
      <c r="G75" s="6" t="str">
        <f t="shared" si="31"/>
        <v>护理</v>
      </c>
      <c r="H75" s="6" t="str">
        <f>"长沙医学院"</f>
        <v>长沙医学院</v>
      </c>
      <c r="I75" s="6" t="str">
        <f t="shared" si="32"/>
        <v>护士资格证</v>
      </c>
    </row>
    <row r="76" spans="1:9" s="1" customFormat="1" ht="30" customHeight="1">
      <c r="A76" s="6">
        <v>74</v>
      </c>
      <c r="B76" s="6" t="s">
        <v>10</v>
      </c>
      <c r="C76" s="6" t="str">
        <f>"郑彩娟"</f>
        <v>郑彩娟</v>
      </c>
      <c r="D76" s="6" t="str">
        <f t="shared" si="27"/>
        <v>女</v>
      </c>
      <c r="E76" s="6" t="str">
        <f>"2000-08-06"</f>
        <v>2000-08-06</v>
      </c>
      <c r="F76" s="6" t="str">
        <f t="shared" si="30"/>
        <v>大专</v>
      </c>
      <c r="G76" s="6" t="str">
        <f t="shared" si="31"/>
        <v>护理</v>
      </c>
      <c r="H76" s="6" t="str">
        <f>"湖南医药学院"</f>
        <v>湖南医药学院</v>
      </c>
      <c r="I76" s="6" t="str">
        <f aca="true" t="shared" si="33" ref="I76:I84">"护士资格证"</f>
        <v>护士资格证</v>
      </c>
    </row>
    <row r="77" spans="1:9" s="1" customFormat="1" ht="30" customHeight="1">
      <c r="A77" s="6">
        <v>75</v>
      </c>
      <c r="B77" s="6" t="s">
        <v>10</v>
      </c>
      <c r="C77" s="6" t="str">
        <f>"董柳花"</f>
        <v>董柳花</v>
      </c>
      <c r="D77" s="6" t="str">
        <f t="shared" si="27"/>
        <v>女</v>
      </c>
      <c r="E77" s="6" t="str">
        <f>"1990-09-12"</f>
        <v>1990-09-12</v>
      </c>
      <c r="F77" s="6" t="str">
        <f t="shared" si="30"/>
        <v>大专</v>
      </c>
      <c r="G77" s="6" t="str">
        <f t="shared" si="31"/>
        <v>护理</v>
      </c>
      <c r="H77" s="6" t="str">
        <f aca="true" t="shared" si="34" ref="H77:H81">"海南医学院"</f>
        <v>海南医学院</v>
      </c>
      <c r="I77" s="6" t="str">
        <f t="shared" si="33"/>
        <v>护士资格证</v>
      </c>
    </row>
    <row r="78" spans="1:9" s="1" customFormat="1" ht="30" customHeight="1">
      <c r="A78" s="6">
        <v>76</v>
      </c>
      <c r="B78" s="6" t="s">
        <v>10</v>
      </c>
      <c r="C78" s="6" t="str">
        <f>"黄晓珍"</f>
        <v>黄晓珍</v>
      </c>
      <c r="D78" s="6" t="str">
        <f t="shared" si="27"/>
        <v>女</v>
      </c>
      <c r="E78" s="6" t="str">
        <f>"1999-04-20"</f>
        <v>1999-04-20</v>
      </c>
      <c r="F78" s="6" t="str">
        <f t="shared" si="30"/>
        <v>大专</v>
      </c>
      <c r="G78" s="6" t="str">
        <f t="shared" si="31"/>
        <v>护理</v>
      </c>
      <c r="H78" s="6" t="str">
        <f>"海南科技职业大学"</f>
        <v>海南科技职业大学</v>
      </c>
      <c r="I78" s="6" t="str">
        <f t="shared" si="33"/>
        <v>护士资格证</v>
      </c>
    </row>
    <row r="79" spans="1:9" s="1" customFormat="1" ht="30" customHeight="1">
      <c r="A79" s="6">
        <v>77</v>
      </c>
      <c r="B79" s="6" t="s">
        <v>10</v>
      </c>
      <c r="C79" s="6" t="str">
        <f>"陈村"</f>
        <v>陈村</v>
      </c>
      <c r="D79" s="6" t="str">
        <f t="shared" si="27"/>
        <v>女</v>
      </c>
      <c r="E79" s="6" t="str">
        <f>"1996-08-05"</f>
        <v>1996-08-05</v>
      </c>
      <c r="F79" s="6" t="str">
        <f t="shared" si="30"/>
        <v>大专</v>
      </c>
      <c r="G79" s="6" t="str">
        <f>"护理学"</f>
        <v>护理学</v>
      </c>
      <c r="H79" s="6" t="str">
        <f>"海南科技职业大学"</f>
        <v>海南科技职业大学</v>
      </c>
      <c r="I79" s="6" t="str">
        <f t="shared" si="33"/>
        <v>护士资格证</v>
      </c>
    </row>
    <row r="80" spans="1:9" s="1" customFormat="1" ht="30" customHeight="1">
      <c r="A80" s="6">
        <v>78</v>
      </c>
      <c r="B80" s="6" t="s">
        <v>10</v>
      </c>
      <c r="C80" s="6" t="str">
        <f>"庞小仙"</f>
        <v>庞小仙</v>
      </c>
      <c r="D80" s="6" t="str">
        <f t="shared" si="27"/>
        <v>女</v>
      </c>
      <c r="E80" s="6" t="str">
        <f>"1999-08-20"</f>
        <v>1999-08-20</v>
      </c>
      <c r="F80" s="6" t="str">
        <f t="shared" si="30"/>
        <v>大专</v>
      </c>
      <c r="G80" s="6" t="str">
        <f>"助产"</f>
        <v>助产</v>
      </c>
      <c r="H80" s="6" t="str">
        <f t="shared" si="34"/>
        <v>海南医学院</v>
      </c>
      <c r="I80" s="6" t="str">
        <f t="shared" si="33"/>
        <v>护士资格证</v>
      </c>
    </row>
    <row r="81" spans="1:9" s="1" customFormat="1" ht="30" customHeight="1">
      <c r="A81" s="6">
        <v>79</v>
      </c>
      <c r="B81" s="6" t="s">
        <v>10</v>
      </c>
      <c r="C81" s="6" t="str">
        <f>"陈举芸"</f>
        <v>陈举芸</v>
      </c>
      <c r="D81" s="6" t="str">
        <f t="shared" si="27"/>
        <v>女</v>
      </c>
      <c r="E81" s="6" t="str">
        <f>"2000-11-15"</f>
        <v>2000-11-15</v>
      </c>
      <c r="F81" s="6" t="str">
        <f t="shared" si="30"/>
        <v>大专</v>
      </c>
      <c r="G81" s="6" t="str">
        <f aca="true" t="shared" si="35" ref="G81:G84">"护理"</f>
        <v>护理</v>
      </c>
      <c r="H81" s="6" t="str">
        <f t="shared" si="34"/>
        <v>海南医学院</v>
      </c>
      <c r="I81" s="6" t="str">
        <f t="shared" si="33"/>
        <v>护士资格证</v>
      </c>
    </row>
    <row r="82" spans="1:9" s="1" customFormat="1" ht="30" customHeight="1">
      <c r="A82" s="6">
        <v>80</v>
      </c>
      <c r="B82" s="6" t="s">
        <v>10</v>
      </c>
      <c r="C82" s="6" t="str">
        <f>"韦嘉丽"</f>
        <v>韦嘉丽</v>
      </c>
      <c r="D82" s="6" t="str">
        <f t="shared" si="27"/>
        <v>女</v>
      </c>
      <c r="E82" s="6" t="str">
        <f>"1996-10-27"</f>
        <v>1996-10-27</v>
      </c>
      <c r="F82" s="6" t="str">
        <f t="shared" si="30"/>
        <v>大专</v>
      </c>
      <c r="G82" s="6" t="str">
        <f t="shared" si="35"/>
        <v>护理</v>
      </c>
      <c r="H82" s="6" t="str">
        <f>"湖北三峡职业技术学院"</f>
        <v>湖北三峡职业技术学院</v>
      </c>
      <c r="I82" s="6" t="str">
        <f t="shared" si="33"/>
        <v>护士资格证</v>
      </c>
    </row>
    <row r="83" spans="1:9" s="1" customFormat="1" ht="30" customHeight="1">
      <c r="A83" s="6">
        <v>81</v>
      </c>
      <c r="B83" s="6" t="s">
        <v>10</v>
      </c>
      <c r="C83" s="6" t="str">
        <f>"申婧玥"</f>
        <v>申婧玥</v>
      </c>
      <c r="D83" s="6" t="str">
        <f t="shared" si="27"/>
        <v>女</v>
      </c>
      <c r="E83" s="6" t="str">
        <f>"1994-06-28"</f>
        <v>1994-06-28</v>
      </c>
      <c r="F83" s="6" t="str">
        <f t="shared" si="30"/>
        <v>大专</v>
      </c>
      <c r="G83" s="6" t="str">
        <f aca="true" t="shared" si="36" ref="G83:G87">"护理学"</f>
        <v>护理学</v>
      </c>
      <c r="H83" s="6" t="str">
        <f>"重庆广播电视大学"</f>
        <v>重庆广播电视大学</v>
      </c>
      <c r="I83" s="6" t="str">
        <f t="shared" si="33"/>
        <v>护士资格证</v>
      </c>
    </row>
    <row r="84" spans="1:9" s="1" customFormat="1" ht="30" customHeight="1">
      <c r="A84" s="6">
        <v>82</v>
      </c>
      <c r="B84" s="6" t="s">
        <v>10</v>
      </c>
      <c r="C84" s="6" t="str">
        <f>"吴兴雅"</f>
        <v>吴兴雅</v>
      </c>
      <c r="D84" s="6" t="str">
        <f t="shared" si="27"/>
        <v>女</v>
      </c>
      <c r="E84" s="6" t="str">
        <f>"2001-06-14"</f>
        <v>2001-06-14</v>
      </c>
      <c r="F84" s="6" t="str">
        <f t="shared" si="30"/>
        <v>大专</v>
      </c>
      <c r="G84" s="6" t="str">
        <f t="shared" si="35"/>
        <v>护理</v>
      </c>
      <c r="H84" s="6" t="str">
        <f>"常德职业技术学院"</f>
        <v>常德职业技术学院</v>
      </c>
      <c r="I84" s="6" t="str">
        <f t="shared" si="33"/>
        <v>护士资格证</v>
      </c>
    </row>
    <row r="85" spans="1:9" s="1" customFormat="1" ht="30" customHeight="1">
      <c r="A85" s="6">
        <v>83</v>
      </c>
      <c r="B85" s="6" t="s">
        <v>10</v>
      </c>
      <c r="C85" s="6" t="str">
        <f>"郭世薇"</f>
        <v>郭世薇</v>
      </c>
      <c r="D85" s="6" t="str">
        <f t="shared" si="27"/>
        <v>女</v>
      </c>
      <c r="E85" s="6" t="str">
        <f>"1999-05-13"</f>
        <v>1999-05-13</v>
      </c>
      <c r="F85" s="6" t="str">
        <f t="shared" si="30"/>
        <v>大专</v>
      </c>
      <c r="G85" s="6" t="str">
        <f t="shared" si="36"/>
        <v>护理学</v>
      </c>
      <c r="H85" s="6" t="str">
        <f aca="true" t="shared" si="37" ref="H85:H89">"海南科技职业大学"</f>
        <v>海南科技职业大学</v>
      </c>
      <c r="I85" s="6" t="str">
        <f aca="true" t="shared" si="38" ref="I85:I94">"护士资格证"</f>
        <v>护士资格证</v>
      </c>
    </row>
    <row r="86" spans="1:9" s="1" customFormat="1" ht="30" customHeight="1">
      <c r="A86" s="6">
        <v>84</v>
      </c>
      <c r="B86" s="6" t="s">
        <v>10</v>
      </c>
      <c r="C86" s="6" t="str">
        <f>"陈宛秋"</f>
        <v>陈宛秋</v>
      </c>
      <c r="D86" s="6" t="str">
        <f t="shared" si="27"/>
        <v>女</v>
      </c>
      <c r="E86" s="6" t="str">
        <f>"1997-05-26"</f>
        <v>1997-05-26</v>
      </c>
      <c r="F86" s="6" t="str">
        <f t="shared" si="30"/>
        <v>大专</v>
      </c>
      <c r="G86" s="6" t="str">
        <f t="shared" si="36"/>
        <v>护理学</v>
      </c>
      <c r="H86" s="6" t="str">
        <f t="shared" si="37"/>
        <v>海南科技职业大学</v>
      </c>
      <c r="I86" s="6" t="str">
        <f t="shared" si="38"/>
        <v>护士资格证</v>
      </c>
    </row>
    <row r="87" spans="1:9" s="1" customFormat="1" ht="30" customHeight="1">
      <c r="A87" s="6">
        <v>85</v>
      </c>
      <c r="B87" s="6" t="s">
        <v>10</v>
      </c>
      <c r="C87" s="6" t="str">
        <f>"邓扬玲"</f>
        <v>邓扬玲</v>
      </c>
      <c r="D87" s="6" t="str">
        <f t="shared" si="27"/>
        <v>女</v>
      </c>
      <c r="E87" s="6" t="str">
        <f>"1997-10-25"</f>
        <v>1997-10-25</v>
      </c>
      <c r="F87" s="6" t="str">
        <f t="shared" si="30"/>
        <v>大专</v>
      </c>
      <c r="G87" s="6" t="str">
        <f t="shared" si="36"/>
        <v>护理学</v>
      </c>
      <c r="H87" s="6" t="str">
        <f>"海南医学院"</f>
        <v>海南医学院</v>
      </c>
      <c r="I87" s="6" t="str">
        <f t="shared" si="38"/>
        <v>护士资格证</v>
      </c>
    </row>
    <row r="88" spans="1:9" s="1" customFormat="1" ht="30" customHeight="1">
      <c r="A88" s="6">
        <v>86</v>
      </c>
      <c r="B88" s="6" t="s">
        <v>10</v>
      </c>
      <c r="C88" s="6" t="str">
        <f>"卓文静"</f>
        <v>卓文静</v>
      </c>
      <c r="D88" s="6" t="str">
        <f t="shared" si="27"/>
        <v>女</v>
      </c>
      <c r="E88" s="6" t="str">
        <f>"2002-02-17"</f>
        <v>2002-02-17</v>
      </c>
      <c r="F88" s="6" t="str">
        <f t="shared" si="30"/>
        <v>大专</v>
      </c>
      <c r="G88" s="6" t="str">
        <f aca="true" t="shared" si="39" ref="G88:G91">"护理"</f>
        <v>护理</v>
      </c>
      <c r="H88" s="6" t="str">
        <f t="shared" si="37"/>
        <v>海南科技职业大学</v>
      </c>
      <c r="I88" s="6" t="str">
        <f t="shared" si="38"/>
        <v>护士资格证</v>
      </c>
    </row>
    <row r="89" spans="1:9" s="1" customFormat="1" ht="30" customHeight="1">
      <c r="A89" s="6">
        <v>87</v>
      </c>
      <c r="B89" s="6" t="s">
        <v>10</v>
      </c>
      <c r="C89" s="6" t="str">
        <f>"李美菊"</f>
        <v>李美菊</v>
      </c>
      <c r="D89" s="6" t="str">
        <f t="shared" si="27"/>
        <v>女</v>
      </c>
      <c r="E89" s="6" t="str">
        <f>"1998-09-04"</f>
        <v>1998-09-04</v>
      </c>
      <c r="F89" s="6" t="str">
        <f t="shared" si="30"/>
        <v>大专</v>
      </c>
      <c r="G89" s="6" t="str">
        <f t="shared" si="39"/>
        <v>护理</v>
      </c>
      <c r="H89" s="6" t="str">
        <f t="shared" si="37"/>
        <v>海南科技职业大学</v>
      </c>
      <c r="I89" s="6" t="str">
        <f t="shared" si="38"/>
        <v>护士资格证</v>
      </c>
    </row>
    <row r="90" spans="1:9" s="1" customFormat="1" ht="30" customHeight="1">
      <c r="A90" s="6">
        <v>88</v>
      </c>
      <c r="B90" s="6" t="s">
        <v>10</v>
      </c>
      <c r="C90" s="6" t="str">
        <f>"邢静"</f>
        <v>邢静</v>
      </c>
      <c r="D90" s="6" t="str">
        <f t="shared" si="27"/>
        <v>女</v>
      </c>
      <c r="E90" s="6" t="str">
        <f>"2000-03-05"</f>
        <v>2000-03-05</v>
      </c>
      <c r="F90" s="6" t="str">
        <f t="shared" si="30"/>
        <v>大专</v>
      </c>
      <c r="G90" s="6" t="str">
        <f t="shared" si="39"/>
        <v>护理</v>
      </c>
      <c r="H90" s="6" t="str">
        <f>"广西科技大学"</f>
        <v>广西科技大学</v>
      </c>
      <c r="I90" s="6" t="str">
        <f t="shared" si="38"/>
        <v>护士资格证</v>
      </c>
    </row>
    <row r="91" spans="1:9" s="1" customFormat="1" ht="30" customHeight="1">
      <c r="A91" s="6">
        <v>89</v>
      </c>
      <c r="B91" s="6" t="s">
        <v>10</v>
      </c>
      <c r="C91" s="6" t="str">
        <f>"林玉"</f>
        <v>林玉</v>
      </c>
      <c r="D91" s="6" t="str">
        <f t="shared" si="27"/>
        <v>女</v>
      </c>
      <c r="E91" s="6" t="str">
        <f>"2001-01-05"</f>
        <v>2001-01-05</v>
      </c>
      <c r="F91" s="6" t="str">
        <f t="shared" si="30"/>
        <v>大专</v>
      </c>
      <c r="G91" s="6" t="str">
        <f t="shared" si="39"/>
        <v>护理</v>
      </c>
      <c r="H91" s="6" t="str">
        <f>"海南科技职业大学"</f>
        <v>海南科技职业大学</v>
      </c>
      <c r="I91" s="6" t="str">
        <f t="shared" si="38"/>
        <v>护士资格证</v>
      </c>
    </row>
    <row r="92" spans="1:9" s="1" customFormat="1" ht="30" customHeight="1">
      <c r="A92" s="6">
        <v>90</v>
      </c>
      <c r="B92" s="6" t="s">
        <v>10</v>
      </c>
      <c r="C92" s="6" t="str">
        <f>"李紫艳"</f>
        <v>李紫艳</v>
      </c>
      <c r="D92" s="6" t="str">
        <f t="shared" si="27"/>
        <v>女</v>
      </c>
      <c r="E92" s="6" t="str">
        <f>"2000-01-08"</f>
        <v>2000-01-08</v>
      </c>
      <c r="F92" s="6" t="str">
        <f t="shared" si="30"/>
        <v>大专</v>
      </c>
      <c r="G92" s="6" t="str">
        <f>"护理学"</f>
        <v>护理学</v>
      </c>
      <c r="H92" s="6" t="str">
        <f>"海南医学院"</f>
        <v>海南医学院</v>
      </c>
      <c r="I92" s="6" t="str">
        <f t="shared" si="38"/>
        <v>护士资格证</v>
      </c>
    </row>
    <row r="93" spans="1:9" s="1" customFormat="1" ht="30" customHeight="1">
      <c r="A93" s="6">
        <v>91</v>
      </c>
      <c r="B93" s="6" t="s">
        <v>10</v>
      </c>
      <c r="C93" s="6" t="str">
        <f>"黄晓双"</f>
        <v>黄晓双</v>
      </c>
      <c r="D93" s="6" t="str">
        <f t="shared" si="27"/>
        <v>女</v>
      </c>
      <c r="E93" s="6" t="str">
        <f>"1991-09-10"</f>
        <v>1991-09-10</v>
      </c>
      <c r="F93" s="6" t="str">
        <f t="shared" si="30"/>
        <v>大专</v>
      </c>
      <c r="G93" s="6" t="str">
        <f aca="true" t="shared" si="40" ref="G93:G95">"护理"</f>
        <v>护理</v>
      </c>
      <c r="H93" s="6" t="str">
        <f>"海南医学院"</f>
        <v>海南医学院</v>
      </c>
      <c r="I93" s="6" t="str">
        <f t="shared" si="38"/>
        <v>护士资格证</v>
      </c>
    </row>
    <row r="94" spans="1:9" s="1" customFormat="1" ht="30" customHeight="1">
      <c r="A94" s="6">
        <v>92</v>
      </c>
      <c r="B94" s="6" t="s">
        <v>10</v>
      </c>
      <c r="C94" s="6" t="str">
        <f>"陈运梦"</f>
        <v>陈运梦</v>
      </c>
      <c r="D94" s="6" t="str">
        <f t="shared" si="27"/>
        <v>女</v>
      </c>
      <c r="E94" s="6" t="str">
        <f>"1997-10-30"</f>
        <v>1997-10-30</v>
      </c>
      <c r="F94" s="6" t="str">
        <f t="shared" si="30"/>
        <v>大专</v>
      </c>
      <c r="G94" s="6" t="str">
        <f t="shared" si="40"/>
        <v>护理</v>
      </c>
      <c r="H94" s="6" t="str">
        <f>"江西工商职业技术学院"</f>
        <v>江西工商职业技术学院</v>
      </c>
      <c r="I94" s="6" t="str">
        <f t="shared" si="38"/>
        <v>护士资格证</v>
      </c>
    </row>
    <row r="95" spans="1:9" s="1" customFormat="1" ht="30" customHeight="1">
      <c r="A95" s="6">
        <v>93</v>
      </c>
      <c r="B95" s="6" t="s">
        <v>10</v>
      </c>
      <c r="C95" s="6" t="str">
        <f>"符丹丹"</f>
        <v>符丹丹</v>
      </c>
      <c r="D95" s="6" t="str">
        <f t="shared" si="27"/>
        <v>女</v>
      </c>
      <c r="E95" s="6" t="str">
        <f>"2000-03-15"</f>
        <v>2000-03-15</v>
      </c>
      <c r="F95" s="6" t="str">
        <f t="shared" si="30"/>
        <v>大专</v>
      </c>
      <c r="G95" s="6" t="str">
        <f t="shared" si="40"/>
        <v>护理</v>
      </c>
      <c r="H95" s="6" t="str">
        <f>"益阳医学高等专科学校"</f>
        <v>益阳医学高等专科学校</v>
      </c>
      <c r="I95" s="6" t="str">
        <f aca="true" t="shared" si="41" ref="I95:I101">"护士资格证"</f>
        <v>护士资格证</v>
      </c>
    </row>
    <row r="96" spans="1:9" s="1" customFormat="1" ht="30" customHeight="1">
      <c r="A96" s="6">
        <v>94</v>
      </c>
      <c r="B96" s="6" t="s">
        <v>10</v>
      </c>
      <c r="C96" s="6" t="str">
        <f>"苏高珍"</f>
        <v>苏高珍</v>
      </c>
      <c r="D96" s="6" t="str">
        <f t="shared" si="27"/>
        <v>女</v>
      </c>
      <c r="E96" s="6" t="str">
        <f>"1998-07-22"</f>
        <v>1998-07-22</v>
      </c>
      <c r="F96" s="6" t="str">
        <f t="shared" si="30"/>
        <v>大专</v>
      </c>
      <c r="G96" s="6" t="s">
        <v>11</v>
      </c>
      <c r="H96" s="6" t="str">
        <f>"无"</f>
        <v>无</v>
      </c>
      <c r="I96" s="6" t="str">
        <f t="shared" si="41"/>
        <v>护士资格证</v>
      </c>
    </row>
    <row r="97" spans="1:9" s="1" customFormat="1" ht="30" customHeight="1">
      <c r="A97" s="6">
        <v>95</v>
      </c>
      <c r="B97" s="6" t="s">
        <v>10</v>
      </c>
      <c r="C97" s="6" t="str">
        <f>"陈舒婧"</f>
        <v>陈舒婧</v>
      </c>
      <c r="D97" s="6" t="str">
        <f t="shared" si="27"/>
        <v>女</v>
      </c>
      <c r="E97" s="6" t="str">
        <f>"1999-12-29"</f>
        <v>1999-12-29</v>
      </c>
      <c r="F97" s="6" t="str">
        <f t="shared" si="30"/>
        <v>大专</v>
      </c>
      <c r="G97" s="6" t="s">
        <v>11</v>
      </c>
      <c r="H97" s="6" t="str">
        <f>"湖南环境生物职业技术学院"</f>
        <v>湖南环境生物职业技术学院</v>
      </c>
      <c r="I97" s="6" t="str">
        <f t="shared" si="41"/>
        <v>护士资格证</v>
      </c>
    </row>
    <row r="98" spans="1:9" s="1" customFormat="1" ht="30" customHeight="1">
      <c r="A98" s="6">
        <v>96</v>
      </c>
      <c r="B98" s="6" t="s">
        <v>10</v>
      </c>
      <c r="C98" s="6" t="str">
        <f>"黎雪怡"</f>
        <v>黎雪怡</v>
      </c>
      <c r="D98" s="6" t="str">
        <f t="shared" si="27"/>
        <v>女</v>
      </c>
      <c r="E98" s="6" t="str">
        <f>"1998-12-10"</f>
        <v>1998-12-10</v>
      </c>
      <c r="F98" s="6" t="str">
        <f t="shared" si="30"/>
        <v>大专</v>
      </c>
      <c r="G98" s="6" t="str">
        <f aca="true" t="shared" si="42" ref="G98:G104">"护理学"</f>
        <v>护理学</v>
      </c>
      <c r="H98" s="6" t="str">
        <f>"荆州职业技术学院"</f>
        <v>荆州职业技术学院</v>
      </c>
      <c r="I98" s="6" t="str">
        <f t="shared" si="41"/>
        <v>护士资格证</v>
      </c>
    </row>
    <row r="99" spans="1:9" s="1" customFormat="1" ht="30" customHeight="1">
      <c r="A99" s="6">
        <v>97</v>
      </c>
      <c r="B99" s="6" t="s">
        <v>10</v>
      </c>
      <c r="C99" s="6" t="str">
        <f>"黄娟"</f>
        <v>黄娟</v>
      </c>
      <c r="D99" s="6" t="str">
        <f t="shared" si="27"/>
        <v>女</v>
      </c>
      <c r="E99" s="6" t="str">
        <f>"1998-11-03"</f>
        <v>1998-11-03</v>
      </c>
      <c r="F99" s="6" t="str">
        <f t="shared" si="30"/>
        <v>大专</v>
      </c>
      <c r="G99" s="6" t="str">
        <f t="shared" si="42"/>
        <v>护理学</v>
      </c>
      <c r="H99" s="6" t="str">
        <f>"吉林北华大学"</f>
        <v>吉林北华大学</v>
      </c>
      <c r="I99" s="6" t="str">
        <f t="shared" si="41"/>
        <v>护士资格证</v>
      </c>
    </row>
    <row r="100" spans="1:9" s="1" customFormat="1" ht="30" customHeight="1">
      <c r="A100" s="6">
        <v>98</v>
      </c>
      <c r="B100" s="6" t="s">
        <v>10</v>
      </c>
      <c r="C100" s="6" t="str">
        <f>"黄玉影"</f>
        <v>黄玉影</v>
      </c>
      <c r="D100" s="6" t="str">
        <f t="shared" si="27"/>
        <v>女</v>
      </c>
      <c r="E100" s="6" t="str">
        <f>"1993-05-17"</f>
        <v>1993-05-17</v>
      </c>
      <c r="F100" s="6" t="str">
        <f t="shared" si="30"/>
        <v>大专</v>
      </c>
      <c r="G100" s="6" t="str">
        <f>"护理"</f>
        <v>护理</v>
      </c>
      <c r="H100" s="6" t="str">
        <f>"海南医学院"</f>
        <v>海南医学院</v>
      </c>
      <c r="I100" s="6" t="str">
        <f t="shared" si="41"/>
        <v>护士资格证</v>
      </c>
    </row>
    <row r="101" spans="1:9" s="1" customFormat="1" ht="30" customHeight="1">
      <c r="A101" s="6">
        <v>99</v>
      </c>
      <c r="B101" s="6" t="s">
        <v>10</v>
      </c>
      <c r="C101" s="6" t="str">
        <f>"苏才媛"</f>
        <v>苏才媛</v>
      </c>
      <c r="D101" s="6" t="str">
        <f t="shared" si="27"/>
        <v>女</v>
      </c>
      <c r="E101" s="6" t="str">
        <f>"1994-07-11"</f>
        <v>1994-07-11</v>
      </c>
      <c r="F101" s="6" t="str">
        <f t="shared" si="30"/>
        <v>大专</v>
      </c>
      <c r="G101" s="6" t="str">
        <f>"护理"</f>
        <v>护理</v>
      </c>
      <c r="H101" s="6" t="str">
        <f>"长沙医学院"</f>
        <v>长沙医学院</v>
      </c>
      <c r="I101" s="6" t="str">
        <f t="shared" si="41"/>
        <v>护士资格证</v>
      </c>
    </row>
    <row r="102" spans="1:9" s="1" customFormat="1" ht="30" customHeight="1">
      <c r="A102" s="6">
        <v>100</v>
      </c>
      <c r="B102" s="6" t="s">
        <v>10</v>
      </c>
      <c r="C102" s="6" t="str">
        <f>"吴玲玲"</f>
        <v>吴玲玲</v>
      </c>
      <c r="D102" s="6" t="str">
        <f t="shared" si="27"/>
        <v>女</v>
      </c>
      <c r="E102" s="6" t="str">
        <f>"1999-09-19"</f>
        <v>1999-09-19</v>
      </c>
      <c r="F102" s="6" t="str">
        <f t="shared" si="30"/>
        <v>大专</v>
      </c>
      <c r="G102" s="6" t="str">
        <f t="shared" si="42"/>
        <v>护理学</v>
      </c>
      <c r="H102" s="6" t="str">
        <f aca="true" t="shared" si="43" ref="H102:H109">"海南科技职业大学"</f>
        <v>海南科技职业大学</v>
      </c>
      <c r="I102" s="6" t="str">
        <f aca="true" t="shared" si="44" ref="I102:I113">"护士资格证"</f>
        <v>护士资格证</v>
      </c>
    </row>
    <row r="103" spans="1:9" s="1" customFormat="1" ht="30" customHeight="1">
      <c r="A103" s="6">
        <v>101</v>
      </c>
      <c r="B103" s="6" t="s">
        <v>10</v>
      </c>
      <c r="C103" s="6" t="str">
        <f>"郭秀捷"</f>
        <v>郭秀捷</v>
      </c>
      <c r="D103" s="6" t="str">
        <f t="shared" si="27"/>
        <v>女</v>
      </c>
      <c r="E103" s="6" t="str">
        <f>"2000-10-15"</f>
        <v>2000-10-15</v>
      </c>
      <c r="F103" s="6" t="str">
        <f t="shared" si="30"/>
        <v>大专</v>
      </c>
      <c r="G103" s="6" t="str">
        <f t="shared" si="42"/>
        <v>护理学</v>
      </c>
      <c r="H103" s="6" t="str">
        <f>"海南科技职业学院"</f>
        <v>海南科技职业学院</v>
      </c>
      <c r="I103" s="6" t="str">
        <f t="shared" si="44"/>
        <v>护士资格证</v>
      </c>
    </row>
    <row r="104" spans="1:9" s="1" customFormat="1" ht="30" customHeight="1">
      <c r="A104" s="6">
        <v>102</v>
      </c>
      <c r="B104" s="6" t="s">
        <v>10</v>
      </c>
      <c r="C104" s="6" t="str">
        <f>"周建芳"</f>
        <v>周建芳</v>
      </c>
      <c r="D104" s="6" t="str">
        <f t="shared" si="27"/>
        <v>女</v>
      </c>
      <c r="E104" s="6" t="str">
        <f>"1997-06-05"</f>
        <v>1997-06-05</v>
      </c>
      <c r="F104" s="6" t="str">
        <f t="shared" si="30"/>
        <v>大专</v>
      </c>
      <c r="G104" s="6" t="str">
        <f t="shared" si="42"/>
        <v>护理学</v>
      </c>
      <c r="H104" s="6" t="str">
        <f>"黄冈职业技术学院"</f>
        <v>黄冈职业技术学院</v>
      </c>
      <c r="I104" s="6" t="str">
        <f t="shared" si="44"/>
        <v>护士资格证</v>
      </c>
    </row>
    <row r="105" spans="1:9" s="1" customFormat="1" ht="30" customHeight="1">
      <c r="A105" s="6">
        <v>103</v>
      </c>
      <c r="B105" s="6" t="s">
        <v>10</v>
      </c>
      <c r="C105" s="6" t="str">
        <f>"罗幸"</f>
        <v>罗幸</v>
      </c>
      <c r="D105" s="6" t="str">
        <f t="shared" si="27"/>
        <v>女</v>
      </c>
      <c r="E105" s="6" t="str">
        <f>"1999-11-13"</f>
        <v>1999-11-13</v>
      </c>
      <c r="F105" s="6" t="str">
        <f t="shared" si="30"/>
        <v>大专</v>
      </c>
      <c r="G105" s="6" t="s">
        <v>11</v>
      </c>
      <c r="H105" s="6" t="str">
        <f t="shared" si="43"/>
        <v>海南科技职业大学</v>
      </c>
      <c r="I105" s="6" t="str">
        <f t="shared" si="44"/>
        <v>护士资格证</v>
      </c>
    </row>
    <row r="106" spans="1:9" s="1" customFormat="1" ht="30" customHeight="1">
      <c r="A106" s="6">
        <v>104</v>
      </c>
      <c r="B106" s="6" t="s">
        <v>10</v>
      </c>
      <c r="C106" s="6" t="str">
        <f>"吴娟娟"</f>
        <v>吴娟娟</v>
      </c>
      <c r="D106" s="6" t="str">
        <f t="shared" si="27"/>
        <v>女</v>
      </c>
      <c r="E106" s="6" t="str">
        <f>"2001-02-04"</f>
        <v>2001-02-04</v>
      </c>
      <c r="F106" s="6" t="str">
        <f t="shared" si="30"/>
        <v>大专</v>
      </c>
      <c r="G106" s="6" t="str">
        <f>"护理"</f>
        <v>护理</v>
      </c>
      <c r="H106" s="6" t="str">
        <f>"海南医学院"</f>
        <v>海南医学院</v>
      </c>
      <c r="I106" s="6" t="str">
        <f t="shared" si="44"/>
        <v>护士资格证</v>
      </c>
    </row>
    <row r="107" spans="1:9" s="1" customFormat="1" ht="30" customHeight="1">
      <c r="A107" s="6">
        <v>105</v>
      </c>
      <c r="B107" s="6" t="s">
        <v>10</v>
      </c>
      <c r="C107" s="6" t="str">
        <f>"黎珠转"</f>
        <v>黎珠转</v>
      </c>
      <c r="D107" s="6" t="str">
        <f t="shared" si="27"/>
        <v>女</v>
      </c>
      <c r="E107" s="6" t="str">
        <f>"1997-01-03"</f>
        <v>1997-01-03</v>
      </c>
      <c r="F107" s="6" t="str">
        <f t="shared" si="30"/>
        <v>大专</v>
      </c>
      <c r="G107" s="6" t="str">
        <f aca="true" t="shared" si="45" ref="G107:G112">"护理学"</f>
        <v>护理学</v>
      </c>
      <c r="H107" s="6" t="str">
        <f t="shared" si="43"/>
        <v>海南科技职业大学</v>
      </c>
      <c r="I107" s="6" t="str">
        <f t="shared" si="44"/>
        <v>护士资格证</v>
      </c>
    </row>
    <row r="108" spans="1:9" s="1" customFormat="1" ht="30" customHeight="1">
      <c r="A108" s="6">
        <v>106</v>
      </c>
      <c r="B108" s="6" t="s">
        <v>10</v>
      </c>
      <c r="C108" s="6" t="str">
        <f>"曾姗姗"</f>
        <v>曾姗姗</v>
      </c>
      <c r="D108" s="6" t="str">
        <f t="shared" si="27"/>
        <v>女</v>
      </c>
      <c r="E108" s="6" t="str">
        <f>"1998-11-12"</f>
        <v>1998-11-12</v>
      </c>
      <c r="F108" s="6" t="str">
        <f t="shared" si="30"/>
        <v>大专</v>
      </c>
      <c r="G108" s="6" t="str">
        <f t="shared" si="45"/>
        <v>护理学</v>
      </c>
      <c r="H108" s="6" t="str">
        <f t="shared" si="43"/>
        <v>海南科技职业大学</v>
      </c>
      <c r="I108" s="6" t="str">
        <f t="shared" si="44"/>
        <v>护士资格证</v>
      </c>
    </row>
    <row r="109" spans="1:9" s="1" customFormat="1" ht="30" customHeight="1">
      <c r="A109" s="6">
        <v>107</v>
      </c>
      <c r="B109" s="6" t="s">
        <v>10</v>
      </c>
      <c r="C109" s="6" t="str">
        <f>"吴日春"</f>
        <v>吴日春</v>
      </c>
      <c r="D109" s="6" t="str">
        <f t="shared" si="27"/>
        <v>女</v>
      </c>
      <c r="E109" s="6" t="str">
        <f>"1999-12-01"</f>
        <v>1999-12-01</v>
      </c>
      <c r="F109" s="6" t="str">
        <f t="shared" si="30"/>
        <v>大专</v>
      </c>
      <c r="G109" s="6" t="str">
        <f>"护理"</f>
        <v>护理</v>
      </c>
      <c r="H109" s="6" t="str">
        <f t="shared" si="43"/>
        <v>海南科技职业大学</v>
      </c>
      <c r="I109" s="6" t="str">
        <f t="shared" si="44"/>
        <v>护士资格证</v>
      </c>
    </row>
    <row r="110" spans="1:9" s="1" customFormat="1" ht="30" customHeight="1">
      <c r="A110" s="6">
        <v>108</v>
      </c>
      <c r="B110" s="6" t="s">
        <v>10</v>
      </c>
      <c r="C110" s="6" t="str">
        <f>"李晓岚"</f>
        <v>李晓岚</v>
      </c>
      <c r="D110" s="6" t="str">
        <f t="shared" si="27"/>
        <v>女</v>
      </c>
      <c r="E110" s="6" t="str">
        <f>"2000-03-18"</f>
        <v>2000-03-18</v>
      </c>
      <c r="F110" s="6" t="str">
        <f>"本科"</f>
        <v>本科</v>
      </c>
      <c r="G110" s="6" t="str">
        <f t="shared" si="45"/>
        <v>护理学</v>
      </c>
      <c r="H110" s="6" t="str">
        <f>"黑龙江中医药大学"</f>
        <v>黑龙江中医药大学</v>
      </c>
      <c r="I110" s="6" t="str">
        <f t="shared" si="44"/>
        <v>护士资格证</v>
      </c>
    </row>
    <row r="111" spans="1:9" s="1" customFormat="1" ht="30" customHeight="1">
      <c r="A111" s="6">
        <v>109</v>
      </c>
      <c r="B111" s="6" t="s">
        <v>10</v>
      </c>
      <c r="C111" s="6" t="str">
        <f>"叶凤洁"</f>
        <v>叶凤洁</v>
      </c>
      <c r="D111" s="6" t="str">
        <f t="shared" si="27"/>
        <v>女</v>
      </c>
      <c r="E111" s="6" t="str">
        <f>"1997-10-03"</f>
        <v>1997-10-03</v>
      </c>
      <c r="F111" s="6" t="str">
        <f aca="true" t="shared" si="46" ref="F111:F115">"大专"</f>
        <v>大专</v>
      </c>
      <c r="G111" s="6" t="str">
        <f t="shared" si="45"/>
        <v>护理学</v>
      </c>
      <c r="H111" s="6" t="str">
        <f>"湖北荆州职业技术学院"</f>
        <v>湖北荆州职业技术学院</v>
      </c>
      <c r="I111" s="6" t="str">
        <f t="shared" si="44"/>
        <v>护士资格证</v>
      </c>
    </row>
    <row r="112" spans="1:9" s="1" customFormat="1" ht="30" customHeight="1">
      <c r="A112" s="6">
        <v>110</v>
      </c>
      <c r="B112" s="6" t="s">
        <v>10</v>
      </c>
      <c r="C112" s="6" t="str">
        <f>"吉训妙"</f>
        <v>吉训妙</v>
      </c>
      <c r="D112" s="6" t="str">
        <f t="shared" si="27"/>
        <v>女</v>
      </c>
      <c r="E112" s="6" t="str">
        <f>"1997-08-07"</f>
        <v>1997-08-07</v>
      </c>
      <c r="F112" s="6" t="str">
        <f t="shared" si="46"/>
        <v>大专</v>
      </c>
      <c r="G112" s="6" t="str">
        <f t="shared" si="45"/>
        <v>护理学</v>
      </c>
      <c r="H112" s="6" t="str">
        <f>"海南医学院"</f>
        <v>海南医学院</v>
      </c>
      <c r="I112" s="6" t="str">
        <f t="shared" si="44"/>
        <v>护士资格证</v>
      </c>
    </row>
    <row r="113" spans="1:9" s="1" customFormat="1" ht="30" customHeight="1">
      <c r="A113" s="6">
        <v>111</v>
      </c>
      <c r="B113" s="6" t="s">
        <v>10</v>
      </c>
      <c r="C113" s="6" t="str">
        <f>"蔡崇"</f>
        <v>蔡崇</v>
      </c>
      <c r="D113" s="6" t="str">
        <f t="shared" si="27"/>
        <v>女</v>
      </c>
      <c r="E113" s="6" t="str">
        <f>"1998-05-21"</f>
        <v>1998-05-21</v>
      </c>
      <c r="F113" s="6" t="str">
        <f t="shared" si="46"/>
        <v>大专</v>
      </c>
      <c r="G113" s="6" t="str">
        <f>"护理"</f>
        <v>护理</v>
      </c>
      <c r="H113" s="6" t="str">
        <f>"南昌大学（抚州医学院）"</f>
        <v>南昌大学（抚州医学院）</v>
      </c>
      <c r="I113" s="6" t="str">
        <f t="shared" si="44"/>
        <v>护士资格证</v>
      </c>
    </row>
    <row r="114" spans="1:9" s="1" customFormat="1" ht="30" customHeight="1">
      <c r="A114" s="6">
        <v>112</v>
      </c>
      <c r="B114" s="6" t="s">
        <v>10</v>
      </c>
      <c r="C114" s="6" t="str">
        <f>"符晴"</f>
        <v>符晴</v>
      </c>
      <c r="D114" s="6" t="str">
        <f t="shared" si="27"/>
        <v>女</v>
      </c>
      <c r="E114" s="6" t="str">
        <f>"1998-01-20"</f>
        <v>1998-01-20</v>
      </c>
      <c r="F114" s="6" t="str">
        <f t="shared" si="46"/>
        <v>大专</v>
      </c>
      <c r="G114" s="6" t="str">
        <f aca="true" t="shared" si="47" ref="G114:G117">"护理学"</f>
        <v>护理学</v>
      </c>
      <c r="H114" s="6" t="str">
        <f>"江西工商职业技术学院"</f>
        <v>江西工商职业技术学院</v>
      </c>
      <c r="I114" s="6" t="str">
        <f aca="true" t="shared" si="48" ref="I114:I119">"护士资格证"</f>
        <v>护士资格证</v>
      </c>
    </row>
    <row r="115" spans="1:9" s="1" customFormat="1" ht="30" customHeight="1">
      <c r="A115" s="6">
        <v>113</v>
      </c>
      <c r="B115" s="6" t="s">
        <v>10</v>
      </c>
      <c r="C115" s="6" t="str">
        <f>"林婷"</f>
        <v>林婷</v>
      </c>
      <c r="D115" s="6" t="str">
        <f t="shared" si="27"/>
        <v>女</v>
      </c>
      <c r="E115" s="6" t="str">
        <f>"1999-06-10"</f>
        <v>1999-06-10</v>
      </c>
      <c r="F115" s="6" t="str">
        <f t="shared" si="46"/>
        <v>大专</v>
      </c>
      <c r="G115" s="6" t="str">
        <f t="shared" si="47"/>
        <v>护理学</v>
      </c>
      <c r="H115" s="6" t="str">
        <f aca="true" t="shared" si="49" ref="H115:H118">"海南科技职业大学"</f>
        <v>海南科技职业大学</v>
      </c>
      <c r="I115" s="6" t="str">
        <f t="shared" si="48"/>
        <v>护士资格证</v>
      </c>
    </row>
    <row r="116" spans="1:9" s="1" customFormat="1" ht="30" customHeight="1">
      <c r="A116" s="6">
        <v>114</v>
      </c>
      <c r="B116" s="6" t="s">
        <v>10</v>
      </c>
      <c r="C116" s="6" t="str">
        <f>"梁丽"</f>
        <v>梁丽</v>
      </c>
      <c r="D116" s="6" t="str">
        <f t="shared" si="27"/>
        <v>女</v>
      </c>
      <c r="E116" s="6" t="str">
        <f>"2001-01-19"</f>
        <v>2001-01-19</v>
      </c>
      <c r="F116" s="6" t="str">
        <f>"本科"</f>
        <v>本科</v>
      </c>
      <c r="G116" s="6" t="str">
        <f t="shared" si="47"/>
        <v>护理学</v>
      </c>
      <c r="H116" s="6" t="str">
        <f>"西安思源学院"</f>
        <v>西安思源学院</v>
      </c>
      <c r="I116" s="6" t="str">
        <f t="shared" si="48"/>
        <v>护士资格证</v>
      </c>
    </row>
    <row r="117" spans="1:9" s="1" customFormat="1" ht="30" customHeight="1">
      <c r="A117" s="6">
        <v>115</v>
      </c>
      <c r="B117" s="6" t="s">
        <v>10</v>
      </c>
      <c r="C117" s="6" t="str">
        <f>"覃朝菊"</f>
        <v>覃朝菊</v>
      </c>
      <c r="D117" s="6" t="str">
        <f t="shared" si="27"/>
        <v>女</v>
      </c>
      <c r="E117" s="6" t="str">
        <f>"2000-07-21"</f>
        <v>2000-07-21</v>
      </c>
      <c r="F117" s="6" t="str">
        <f aca="true" t="shared" si="50" ref="F117:F122">"大专"</f>
        <v>大专</v>
      </c>
      <c r="G117" s="6" t="str">
        <f t="shared" si="47"/>
        <v>护理学</v>
      </c>
      <c r="H117" s="6" t="str">
        <f t="shared" si="49"/>
        <v>海南科技职业大学</v>
      </c>
      <c r="I117" s="6" t="str">
        <f t="shared" si="48"/>
        <v>护士资格证</v>
      </c>
    </row>
    <row r="118" spans="1:9" s="1" customFormat="1" ht="30" customHeight="1">
      <c r="A118" s="6">
        <v>116</v>
      </c>
      <c r="B118" s="6" t="s">
        <v>10</v>
      </c>
      <c r="C118" s="6" t="str">
        <f>"李暖"</f>
        <v>李暖</v>
      </c>
      <c r="D118" s="6" t="str">
        <f t="shared" si="27"/>
        <v>女</v>
      </c>
      <c r="E118" s="6" t="str">
        <f>"1999-11-12"</f>
        <v>1999-11-12</v>
      </c>
      <c r="F118" s="6" t="str">
        <f t="shared" si="50"/>
        <v>大专</v>
      </c>
      <c r="G118" s="6" t="str">
        <f>"护理"</f>
        <v>护理</v>
      </c>
      <c r="H118" s="6" t="str">
        <f t="shared" si="49"/>
        <v>海南科技职业大学</v>
      </c>
      <c r="I118" s="6" t="str">
        <f t="shared" si="48"/>
        <v>护士资格证</v>
      </c>
    </row>
    <row r="119" spans="1:9" s="1" customFormat="1" ht="30" customHeight="1">
      <c r="A119" s="6">
        <v>117</v>
      </c>
      <c r="B119" s="6" t="s">
        <v>10</v>
      </c>
      <c r="C119" s="6" t="str">
        <f>"符贤莲"</f>
        <v>符贤莲</v>
      </c>
      <c r="D119" s="6" t="str">
        <f t="shared" si="27"/>
        <v>女</v>
      </c>
      <c r="E119" s="6" t="str">
        <f>"1997-02-26"</f>
        <v>1997-02-26</v>
      </c>
      <c r="F119" s="6" t="str">
        <f t="shared" si="50"/>
        <v>大专</v>
      </c>
      <c r="G119" s="6" t="str">
        <f aca="true" t="shared" si="51" ref="G119:G124">"护理学"</f>
        <v>护理学</v>
      </c>
      <c r="H119" s="6" t="str">
        <f>"海南卫生健康职业学院"</f>
        <v>海南卫生健康职业学院</v>
      </c>
      <c r="I119" s="6" t="str">
        <f t="shared" si="48"/>
        <v>护士资格证</v>
      </c>
    </row>
    <row r="120" spans="1:9" s="1" customFormat="1" ht="30" customHeight="1">
      <c r="A120" s="6">
        <v>118</v>
      </c>
      <c r="B120" s="6" t="s">
        <v>10</v>
      </c>
      <c r="C120" s="6" t="str">
        <f>"羊丹霞"</f>
        <v>羊丹霞</v>
      </c>
      <c r="D120" s="6" t="str">
        <f t="shared" si="27"/>
        <v>女</v>
      </c>
      <c r="E120" s="6" t="str">
        <f>"1999-01-24"</f>
        <v>1999-01-24</v>
      </c>
      <c r="F120" s="6" t="str">
        <f t="shared" si="50"/>
        <v>大专</v>
      </c>
      <c r="G120" s="6" t="s">
        <v>11</v>
      </c>
      <c r="H120" s="6" t="str">
        <f>"海南健康管理职业技术学院"</f>
        <v>海南健康管理职业技术学院</v>
      </c>
      <c r="I120" s="6" t="str">
        <f aca="true" t="shared" si="52" ref="I120:I123">"护士资格证"</f>
        <v>护士资格证</v>
      </c>
    </row>
    <row r="121" spans="1:9" s="1" customFormat="1" ht="30" customHeight="1">
      <c r="A121" s="6">
        <v>119</v>
      </c>
      <c r="B121" s="6" t="s">
        <v>10</v>
      </c>
      <c r="C121" s="6" t="str">
        <f>"黄河玉"</f>
        <v>黄河玉</v>
      </c>
      <c r="D121" s="6" t="str">
        <f t="shared" si="27"/>
        <v>女</v>
      </c>
      <c r="E121" s="6" t="str">
        <f>"1995-02-23"</f>
        <v>1995-02-23</v>
      </c>
      <c r="F121" s="6" t="str">
        <f t="shared" si="50"/>
        <v>大专</v>
      </c>
      <c r="G121" s="6" t="s">
        <v>11</v>
      </c>
      <c r="H121" s="6" t="str">
        <f>"海南医学院"</f>
        <v>海南医学院</v>
      </c>
      <c r="I121" s="6" t="str">
        <f t="shared" si="52"/>
        <v>护士资格证</v>
      </c>
    </row>
    <row r="122" spans="1:9" s="1" customFormat="1" ht="30" customHeight="1">
      <c r="A122" s="6">
        <v>120</v>
      </c>
      <c r="B122" s="6" t="s">
        <v>10</v>
      </c>
      <c r="C122" s="6" t="str">
        <f>"刘亚听"</f>
        <v>刘亚听</v>
      </c>
      <c r="D122" s="6" t="str">
        <f t="shared" si="27"/>
        <v>女</v>
      </c>
      <c r="E122" s="6" t="str">
        <f>"1994-05-08"</f>
        <v>1994-05-08</v>
      </c>
      <c r="F122" s="6" t="str">
        <f t="shared" si="50"/>
        <v>大专</v>
      </c>
      <c r="G122" s="6" t="str">
        <f aca="true" t="shared" si="53" ref="G122:G130">"护理"</f>
        <v>护理</v>
      </c>
      <c r="H122" s="6" t="str">
        <f>"海南医学院"</f>
        <v>海南医学院</v>
      </c>
      <c r="I122" s="6" t="str">
        <f t="shared" si="52"/>
        <v>护士资格证</v>
      </c>
    </row>
    <row r="123" spans="1:9" s="1" customFormat="1" ht="30" customHeight="1">
      <c r="A123" s="6">
        <v>121</v>
      </c>
      <c r="B123" s="6" t="s">
        <v>10</v>
      </c>
      <c r="C123" s="6" t="str">
        <f>"薛锦莹"</f>
        <v>薛锦莹</v>
      </c>
      <c r="D123" s="6" t="str">
        <f t="shared" si="27"/>
        <v>女</v>
      </c>
      <c r="E123" s="6" t="str">
        <f>"1997-09-22"</f>
        <v>1997-09-22</v>
      </c>
      <c r="F123" s="6" t="str">
        <f>"本科"</f>
        <v>本科</v>
      </c>
      <c r="G123" s="6" t="str">
        <f t="shared" si="51"/>
        <v>护理学</v>
      </c>
      <c r="H123" s="6" t="str">
        <f>"长江大学"</f>
        <v>长江大学</v>
      </c>
      <c r="I123" s="6" t="str">
        <f t="shared" si="52"/>
        <v>护士资格证</v>
      </c>
    </row>
    <row r="124" spans="1:9" s="1" customFormat="1" ht="30" customHeight="1">
      <c r="A124" s="6">
        <v>122</v>
      </c>
      <c r="B124" s="6" t="s">
        <v>10</v>
      </c>
      <c r="C124" s="6" t="str">
        <f>"吴家月"</f>
        <v>吴家月</v>
      </c>
      <c r="D124" s="6" t="str">
        <f t="shared" si="27"/>
        <v>女</v>
      </c>
      <c r="E124" s="6" t="str">
        <f>"1997-04-05"</f>
        <v>1997-04-05</v>
      </c>
      <c r="F124" s="6" t="str">
        <f aca="true" t="shared" si="54" ref="F124:F187">"大专"</f>
        <v>大专</v>
      </c>
      <c r="G124" s="6" t="str">
        <f t="shared" si="51"/>
        <v>护理学</v>
      </c>
      <c r="H124" s="6" t="str">
        <f>"海南科技职业大学"</f>
        <v>海南科技职业大学</v>
      </c>
      <c r="I124" s="6" t="str">
        <f aca="true" t="shared" si="55" ref="I124:I132">"护士资格证"</f>
        <v>护士资格证</v>
      </c>
    </row>
    <row r="125" spans="1:9" s="1" customFormat="1" ht="30" customHeight="1">
      <c r="A125" s="6">
        <v>123</v>
      </c>
      <c r="B125" s="6" t="s">
        <v>10</v>
      </c>
      <c r="C125" s="6" t="str">
        <f>"陈巨娥"</f>
        <v>陈巨娥</v>
      </c>
      <c r="D125" s="6" t="str">
        <f t="shared" si="27"/>
        <v>女</v>
      </c>
      <c r="E125" s="6" t="str">
        <f>"1998-01-18"</f>
        <v>1998-01-18</v>
      </c>
      <c r="F125" s="6" t="str">
        <f t="shared" si="54"/>
        <v>大专</v>
      </c>
      <c r="G125" s="6" t="str">
        <f>"助产"</f>
        <v>助产</v>
      </c>
      <c r="H125" s="6" t="str">
        <f>"仙桃职业学院"</f>
        <v>仙桃职业学院</v>
      </c>
      <c r="I125" s="6" t="str">
        <f t="shared" si="55"/>
        <v>护士资格证</v>
      </c>
    </row>
    <row r="126" spans="1:9" s="1" customFormat="1" ht="30" customHeight="1">
      <c r="A126" s="6">
        <v>124</v>
      </c>
      <c r="B126" s="6" t="s">
        <v>10</v>
      </c>
      <c r="C126" s="6" t="str">
        <f>"文霜"</f>
        <v>文霜</v>
      </c>
      <c r="D126" s="6" t="str">
        <f t="shared" si="27"/>
        <v>女</v>
      </c>
      <c r="E126" s="6" t="str">
        <f>"2000-06-16"</f>
        <v>2000-06-16</v>
      </c>
      <c r="F126" s="6" t="str">
        <f t="shared" si="54"/>
        <v>大专</v>
      </c>
      <c r="G126" s="6" t="str">
        <f t="shared" si="53"/>
        <v>护理</v>
      </c>
      <c r="H126" s="6" t="str">
        <f>"湘潭医卫职业技术学院"</f>
        <v>湘潭医卫职业技术学院</v>
      </c>
      <c r="I126" s="6" t="str">
        <f t="shared" si="55"/>
        <v>护士资格证</v>
      </c>
    </row>
    <row r="127" spans="1:9" s="1" customFormat="1" ht="30" customHeight="1">
      <c r="A127" s="6">
        <v>125</v>
      </c>
      <c r="B127" s="6" t="s">
        <v>10</v>
      </c>
      <c r="C127" s="6" t="str">
        <f>"李玉香"</f>
        <v>李玉香</v>
      </c>
      <c r="D127" s="6" t="str">
        <f t="shared" si="27"/>
        <v>女</v>
      </c>
      <c r="E127" s="6" t="str">
        <f>"2001-01-20"</f>
        <v>2001-01-20</v>
      </c>
      <c r="F127" s="6" t="str">
        <f t="shared" si="54"/>
        <v>大专</v>
      </c>
      <c r="G127" s="6" t="str">
        <f t="shared" si="53"/>
        <v>护理</v>
      </c>
      <c r="H127" s="6" t="str">
        <f>"海南省卫生学校"</f>
        <v>海南省卫生学校</v>
      </c>
      <c r="I127" s="6" t="str">
        <f t="shared" si="55"/>
        <v>护士资格证</v>
      </c>
    </row>
    <row r="128" spans="1:9" s="1" customFormat="1" ht="30" customHeight="1">
      <c r="A128" s="6">
        <v>126</v>
      </c>
      <c r="B128" s="6" t="s">
        <v>10</v>
      </c>
      <c r="C128" s="6" t="str">
        <f>"曾文雅"</f>
        <v>曾文雅</v>
      </c>
      <c r="D128" s="6" t="str">
        <f t="shared" si="27"/>
        <v>女</v>
      </c>
      <c r="E128" s="6" t="str">
        <f>"2004-06-05"</f>
        <v>2004-06-05</v>
      </c>
      <c r="F128" s="6" t="str">
        <f t="shared" si="54"/>
        <v>大专</v>
      </c>
      <c r="G128" s="6" t="str">
        <f t="shared" si="53"/>
        <v>护理</v>
      </c>
      <c r="H128" s="6" t="str">
        <f>"镇江市高等专科学校"</f>
        <v>镇江市高等专科学校</v>
      </c>
      <c r="I128" s="6" t="str">
        <f t="shared" si="55"/>
        <v>护士资格证</v>
      </c>
    </row>
    <row r="129" spans="1:9" s="1" customFormat="1" ht="30" customHeight="1">
      <c r="A129" s="6">
        <v>127</v>
      </c>
      <c r="B129" s="6" t="s">
        <v>10</v>
      </c>
      <c r="C129" s="6" t="str">
        <f>"许文雪"</f>
        <v>许文雪</v>
      </c>
      <c r="D129" s="6" t="str">
        <f t="shared" si="27"/>
        <v>女</v>
      </c>
      <c r="E129" s="6" t="str">
        <f>"2001-01-15"</f>
        <v>2001-01-15</v>
      </c>
      <c r="F129" s="6" t="str">
        <f t="shared" si="54"/>
        <v>大专</v>
      </c>
      <c r="G129" s="6" t="str">
        <f t="shared" si="53"/>
        <v>护理</v>
      </c>
      <c r="H129" s="6" t="str">
        <f>"海南科技职业大学"</f>
        <v>海南科技职业大学</v>
      </c>
      <c r="I129" s="6" t="str">
        <f t="shared" si="55"/>
        <v>护士资格证</v>
      </c>
    </row>
    <row r="130" spans="1:9" s="1" customFormat="1" ht="30" customHeight="1">
      <c r="A130" s="6">
        <v>128</v>
      </c>
      <c r="B130" s="6" t="s">
        <v>10</v>
      </c>
      <c r="C130" s="6" t="str">
        <f>"朱金凤"</f>
        <v>朱金凤</v>
      </c>
      <c r="D130" s="6" t="str">
        <f aca="true" t="shared" si="56" ref="D130:D139">"女"</f>
        <v>女</v>
      </c>
      <c r="E130" s="6" t="str">
        <f>"1999-11-04"</f>
        <v>1999-11-04</v>
      </c>
      <c r="F130" s="6" t="str">
        <f t="shared" si="54"/>
        <v>大专</v>
      </c>
      <c r="G130" s="6" t="str">
        <f t="shared" si="53"/>
        <v>护理</v>
      </c>
      <c r="H130" s="6" t="str">
        <f>"海南医学院"</f>
        <v>海南医学院</v>
      </c>
      <c r="I130" s="6" t="str">
        <f t="shared" si="55"/>
        <v>护士资格证</v>
      </c>
    </row>
    <row r="131" spans="1:9" s="1" customFormat="1" ht="30" customHeight="1">
      <c r="A131" s="6">
        <v>129</v>
      </c>
      <c r="B131" s="6" t="s">
        <v>10</v>
      </c>
      <c r="C131" s="6" t="str">
        <f>"张瑶"</f>
        <v>张瑶</v>
      </c>
      <c r="D131" s="6" t="str">
        <f t="shared" si="56"/>
        <v>女</v>
      </c>
      <c r="E131" s="6" t="str">
        <f>"1998-11-06"</f>
        <v>1998-11-06</v>
      </c>
      <c r="F131" s="6" t="str">
        <f t="shared" si="54"/>
        <v>大专</v>
      </c>
      <c r="G131" s="6" t="str">
        <f>"护理学"</f>
        <v>护理学</v>
      </c>
      <c r="H131" s="6" t="str">
        <f>"海南科技职业大学"</f>
        <v>海南科技职业大学</v>
      </c>
      <c r="I131" s="6" t="str">
        <f t="shared" si="55"/>
        <v>护士资格证</v>
      </c>
    </row>
    <row r="132" spans="1:9" s="1" customFormat="1" ht="30" customHeight="1">
      <c r="A132" s="6">
        <v>130</v>
      </c>
      <c r="B132" s="6" t="s">
        <v>10</v>
      </c>
      <c r="C132" s="6" t="str">
        <f>"黎秀蕊"</f>
        <v>黎秀蕊</v>
      </c>
      <c r="D132" s="6" t="str">
        <f t="shared" si="56"/>
        <v>女</v>
      </c>
      <c r="E132" s="6" t="str">
        <f>"1999-05-28"</f>
        <v>1999-05-28</v>
      </c>
      <c r="F132" s="6" t="str">
        <f t="shared" si="54"/>
        <v>大专</v>
      </c>
      <c r="G132" s="6" t="str">
        <f aca="true" t="shared" si="57" ref="G132:G137">"护理"</f>
        <v>护理</v>
      </c>
      <c r="H132" s="6" t="str">
        <f>"海南省卫生学校"</f>
        <v>海南省卫生学校</v>
      </c>
      <c r="I132" s="6" t="str">
        <f t="shared" si="55"/>
        <v>护士资格证</v>
      </c>
    </row>
    <row r="133" spans="1:9" s="1" customFormat="1" ht="30" customHeight="1">
      <c r="A133" s="6">
        <v>131</v>
      </c>
      <c r="B133" s="6" t="s">
        <v>10</v>
      </c>
      <c r="C133" s="6" t="str">
        <f>"符兰青"</f>
        <v>符兰青</v>
      </c>
      <c r="D133" s="6" t="str">
        <f t="shared" si="56"/>
        <v>女</v>
      </c>
      <c r="E133" s="6" t="str">
        <f>"2001-01-20"</f>
        <v>2001-01-20</v>
      </c>
      <c r="F133" s="6" t="str">
        <f t="shared" si="54"/>
        <v>大专</v>
      </c>
      <c r="G133" s="6" t="str">
        <f t="shared" si="57"/>
        <v>护理</v>
      </c>
      <c r="H133" s="6" t="str">
        <f aca="true" t="shared" si="58" ref="H133:H138">"海南医学院"</f>
        <v>海南医学院</v>
      </c>
      <c r="I133" s="6" t="str">
        <f aca="true" t="shared" si="59" ref="I133:I149">"护士资格证"</f>
        <v>护士资格证</v>
      </c>
    </row>
    <row r="134" spans="1:9" s="1" customFormat="1" ht="30" customHeight="1">
      <c r="A134" s="6">
        <v>132</v>
      </c>
      <c r="B134" s="6" t="s">
        <v>10</v>
      </c>
      <c r="C134" s="6" t="str">
        <f>"王恩琴"</f>
        <v>王恩琴</v>
      </c>
      <c r="D134" s="6" t="str">
        <f t="shared" si="56"/>
        <v>女</v>
      </c>
      <c r="E134" s="6" t="str">
        <f>"2000-05-05"</f>
        <v>2000-05-05</v>
      </c>
      <c r="F134" s="6" t="str">
        <f t="shared" si="54"/>
        <v>大专</v>
      </c>
      <c r="G134" s="6" t="str">
        <f t="shared" si="57"/>
        <v>护理</v>
      </c>
      <c r="H134" s="6" t="str">
        <f>"江西科技学院"</f>
        <v>江西科技学院</v>
      </c>
      <c r="I134" s="6" t="str">
        <f t="shared" si="59"/>
        <v>护士资格证</v>
      </c>
    </row>
    <row r="135" spans="1:9" s="1" customFormat="1" ht="30" customHeight="1">
      <c r="A135" s="6">
        <v>133</v>
      </c>
      <c r="B135" s="6" t="s">
        <v>10</v>
      </c>
      <c r="C135" s="6" t="str">
        <f>"李子星"</f>
        <v>李子星</v>
      </c>
      <c r="D135" s="6" t="str">
        <f t="shared" si="56"/>
        <v>女</v>
      </c>
      <c r="E135" s="6" t="str">
        <f>"1996-07-20"</f>
        <v>1996-07-20</v>
      </c>
      <c r="F135" s="6" t="str">
        <f t="shared" si="54"/>
        <v>大专</v>
      </c>
      <c r="G135" s="6" t="str">
        <f t="shared" si="57"/>
        <v>护理</v>
      </c>
      <c r="H135" s="6" t="str">
        <f>"长江大学"</f>
        <v>长江大学</v>
      </c>
      <c r="I135" s="6" t="str">
        <f t="shared" si="59"/>
        <v>护士资格证</v>
      </c>
    </row>
    <row r="136" spans="1:9" s="1" customFormat="1" ht="30" customHeight="1">
      <c r="A136" s="6">
        <v>134</v>
      </c>
      <c r="B136" s="6" t="s">
        <v>10</v>
      </c>
      <c r="C136" s="6" t="str">
        <f>"赵丹"</f>
        <v>赵丹</v>
      </c>
      <c r="D136" s="6" t="str">
        <f t="shared" si="56"/>
        <v>女</v>
      </c>
      <c r="E136" s="6" t="str">
        <f>"2000-07-12"</f>
        <v>2000-07-12</v>
      </c>
      <c r="F136" s="6" t="str">
        <f t="shared" si="54"/>
        <v>大专</v>
      </c>
      <c r="G136" s="6" t="str">
        <f t="shared" si="57"/>
        <v>护理</v>
      </c>
      <c r="H136" s="6" t="str">
        <f t="shared" si="58"/>
        <v>海南医学院</v>
      </c>
      <c r="I136" s="6" t="str">
        <f t="shared" si="59"/>
        <v>护士资格证</v>
      </c>
    </row>
    <row r="137" spans="1:9" s="1" customFormat="1" ht="30" customHeight="1">
      <c r="A137" s="6">
        <v>135</v>
      </c>
      <c r="B137" s="6" t="s">
        <v>10</v>
      </c>
      <c r="C137" s="6" t="str">
        <f>"纪若琳"</f>
        <v>纪若琳</v>
      </c>
      <c r="D137" s="6" t="str">
        <f t="shared" si="56"/>
        <v>女</v>
      </c>
      <c r="E137" s="6" t="str">
        <f>"1998-05-01"</f>
        <v>1998-05-01</v>
      </c>
      <c r="F137" s="6" t="str">
        <f t="shared" si="54"/>
        <v>大专</v>
      </c>
      <c r="G137" s="6" t="str">
        <f t="shared" si="57"/>
        <v>护理</v>
      </c>
      <c r="H137" s="6" t="str">
        <f aca="true" t="shared" si="60" ref="H137:H141">"海南科技职业大学"</f>
        <v>海南科技职业大学</v>
      </c>
      <c r="I137" s="6" t="str">
        <f t="shared" si="59"/>
        <v>护士资格证</v>
      </c>
    </row>
    <row r="138" spans="1:9" s="1" customFormat="1" ht="30" customHeight="1">
      <c r="A138" s="6">
        <v>136</v>
      </c>
      <c r="B138" s="6" t="s">
        <v>10</v>
      </c>
      <c r="C138" s="6" t="str">
        <f>"王霄霜"</f>
        <v>王霄霜</v>
      </c>
      <c r="D138" s="6" t="str">
        <f t="shared" si="56"/>
        <v>女</v>
      </c>
      <c r="E138" s="6" t="str">
        <f>"1996-01-21"</f>
        <v>1996-01-21</v>
      </c>
      <c r="F138" s="6" t="str">
        <f t="shared" si="54"/>
        <v>大专</v>
      </c>
      <c r="G138" s="6" t="str">
        <f>"护理学"</f>
        <v>护理学</v>
      </c>
      <c r="H138" s="6" t="str">
        <f t="shared" si="58"/>
        <v>海南医学院</v>
      </c>
      <c r="I138" s="6" t="str">
        <f t="shared" si="59"/>
        <v>护士资格证</v>
      </c>
    </row>
    <row r="139" spans="1:9" s="1" customFormat="1" ht="30" customHeight="1">
      <c r="A139" s="6">
        <v>137</v>
      </c>
      <c r="B139" s="6" t="s">
        <v>10</v>
      </c>
      <c r="C139" s="6" t="str">
        <f>"邢静芬"</f>
        <v>邢静芬</v>
      </c>
      <c r="D139" s="6" t="str">
        <f t="shared" si="56"/>
        <v>女</v>
      </c>
      <c r="E139" s="6" t="str">
        <f>"2000-06-02"</f>
        <v>2000-06-02</v>
      </c>
      <c r="F139" s="6" t="str">
        <f t="shared" si="54"/>
        <v>大专</v>
      </c>
      <c r="G139" s="6" t="s">
        <v>11</v>
      </c>
      <c r="H139" s="6" t="str">
        <f t="shared" si="60"/>
        <v>海南科技职业大学</v>
      </c>
      <c r="I139" s="6" t="str">
        <f t="shared" si="59"/>
        <v>护士资格证</v>
      </c>
    </row>
    <row r="140" spans="1:9" s="1" customFormat="1" ht="30" customHeight="1">
      <c r="A140" s="6">
        <v>138</v>
      </c>
      <c r="B140" s="6" t="s">
        <v>10</v>
      </c>
      <c r="C140" s="6" t="str">
        <f>"王嘉年"</f>
        <v>王嘉年</v>
      </c>
      <c r="D140" s="6" t="str">
        <f>"男"</f>
        <v>男</v>
      </c>
      <c r="E140" s="6" t="str">
        <f>"1998-06-18"</f>
        <v>1998-06-18</v>
      </c>
      <c r="F140" s="6" t="str">
        <f t="shared" si="54"/>
        <v>大专</v>
      </c>
      <c r="G140" s="6" t="str">
        <f aca="true" t="shared" si="61" ref="G140:G143">"护理"</f>
        <v>护理</v>
      </c>
      <c r="H140" s="6" t="str">
        <f t="shared" si="60"/>
        <v>海南科技职业大学</v>
      </c>
      <c r="I140" s="6" t="str">
        <f t="shared" si="59"/>
        <v>护士资格证</v>
      </c>
    </row>
    <row r="141" spans="1:9" s="1" customFormat="1" ht="30" customHeight="1">
      <c r="A141" s="6">
        <v>139</v>
      </c>
      <c r="B141" s="6" t="s">
        <v>10</v>
      </c>
      <c r="C141" s="6" t="str">
        <f>"刘宝彦"</f>
        <v>刘宝彦</v>
      </c>
      <c r="D141" s="6" t="str">
        <f aca="true" t="shared" si="62" ref="D141:D171">"女"</f>
        <v>女</v>
      </c>
      <c r="E141" s="6" t="str">
        <f>"2000-06-03"</f>
        <v>2000-06-03</v>
      </c>
      <c r="F141" s="6" t="str">
        <f t="shared" si="54"/>
        <v>大专</v>
      </c>
      <c r="G141" s="6" t="str">
        <f>"助产"</f>
        <v>助产</v>
      </c>
      <c r="H141" s="6" t="str">
        <f t="shared" si="60"/>
        <v>海南科技职业大学</v>
      </c>
      <c r="I141" s="6" t="str">
        <f t="shared" si="59"/>
        <v>护士资格证</v>
      </c>
    </row>
    <row r="142" spans="1:9" s="1" customFormat="1" ht="30" customHeight="1">
      <c r="A142" s="6">
        <v>140</v>
      </c>
      <c r="B142" s="6" t="s">
        <v>10</v>
      </c>
      <c r="C142" s="6" t="str">
        <f>"符发花"</f>
        <v>符发花</v>
      </c>
      <c r="D142" s="6" t="str">
        <f t="shared" si="62"/>
        <v>女</v>
      </c>
      <c r="E142" s="6" t="str">
        <f>"1998-10-02"</f>
        <v>1998-10-02</v>
      </c>
      <c r="F142" s="6" t="str">
        <f t="shared" si="54"/>
        <v>大专</v>
      </c>
      <c r="G142" s="6" t="str">
        <f t="shared" si="61"/>
        <v>护理</v>
      </c>
      <c r="H142" s="6" t="str">
        <f>"黄冈职业技术学院"</f>
        <v>黄冈职业技术学院</v>
      </c>
      <c r="I142" s="6" t="str">
        <f t="shared" si="59"/>
        <v>护士资格证</v>
      </c>
    </row>
    <row r="143" spans="1:9" s="1" customFormat="1" ht="30" customHeight="1">
      <c r="A143" s="6">
        <v>141</v>
      </c>
      <c r="B143" s="6" t="s">
        <v>10</v>
      </c>
      <c r="C143" s="6" t="str">
        <f>"羊金秀"</f>
        <v>羊金秀</v>
      </c>
      <c r="D143" s="6" t="str">
        <f t="shared" si="62"/>
        <v>女</v>
      </c>
      <c r="E143" s="6" t="str">
        <f>"2000-11-20"</f>
        <v>2000-11-20</v>
      </c>
      <c r="F143" s="6" t="str">
        <f t="shared" si="54"/>
        <v>大专</v>
      </c>
      <c r="G143" s="6" t="str">
        <f t="shared" si="61"/>
        <v>护理</v>
      </c>
      <c r="H143" s="6" t="str">
        <f>"武汉民政职业学院"</f>
        <v>武汉民政职业学院</v>
      </c>
      <c r="I143" s="6" t="str">
        <f t="shared" si="59"/>
        <v>护士资格证</v>
      </c>
    </row>
    <row r="144" spans="1:9" s="1" customFormat="1" ht="30" customHeight="1">
      <c r="A144" s="6">
        <v>142</v>
      </c>
      <c r="B144" s="6" t="s">
        <v>10</v>
      </c>
      <c r="C144" s="6" t="str">
        <f>"陈冬初"</f>
        <v>陈冬初</v>
      </c>
      <c r="D144" s="6" t="str">
        <f t="shared" si="62"/>
        <v>女</v>
      </c>
      <c r="E144" s="6" t="str">
        <f>"1997-10-01"</f>
        <v>1997-10-01</v>
      </c>
      <c r="F144" s="6" t="str">
        <f t="shared" si="54"/>
        <v>大专</v>
      </c>
      <c r="G144" s="6" t="str">
        <f>"护理学"</f>
        <v>护理学</v>
      </c>
      <c r="H144" s="6" t="str">
        <f>"黔南民族医学高等专科学校"</f>
        <v>黔南民族医学高等专科学校</v>
      </c>
      <c r="I144" s="6" t="str">
        <f t="shared" si="59"/>
        <v>护士资格证</v>
      </c>
    </row>
    <row r="145" spans="1:9" s="1" customFormat="1" ht="30" customHeight="1">
      <c r="A145" s="6">
        <v>143</v>
      </c>
      <c r="B145" s="6" t="s">
        <v>10</v>
      </c>
      <c r="C145" s="6" t="str">
        <f>"邢增纯"</f>
        <v>邢增纯</v>
      </c>
      <c r="D145" s="6" t="str">
        <f t="shared" si="62"/>
        <v>女</v>
      </c>
      <c r="E145" s="6" t="str">
        <f>"1998-06-01"</f>
        <v>1998-06-01</v>
      </c>
      <c r="F145" s="6" t="str">
        <f t="shared" si="54"/>
        <v>大专</v>
      </c>
      <c r="G145" s="6" t="str">
        <f aca="true" t="shared" si="63" ref="G145:G149">"护理"</f>
        <v>护理</v>
      </c>
      <c r="H145" s="6" t="str">
        <f aca="true" t="shared" si="64" ref="H145:H150">"海南科技职业大学"</f>
        <v>海南科技职业大学</v>
      </c>
      <c r="I145" s="6" t="str">
        <f t="shared" si="59"/>
        <v>护士资格证</v>
      </c>
    </row>
    <row r="146" spans="1:9" s="1" customFormat="1" ht="30" customHeight="1">
      <c r="A146" s="6">
        <v>144</v>
      </c>
      <c r="B146" s="6" t="s">
        <v>10</v>
      </c>
      <c r="C146" s="6" t="str">
        <f>"郭益女"</f>
        <v>郭益女</v>
      </c>
      <c r="D146" s="6" t="str">
        <f t="shared" si="62"/>
        <v>女</v>
      </c>
      <c r="E146" s="6" t="str">
        <f>"1998-12-24"</f>
        <v>1998-12-24</v>
      </c>
      <c r="F146" s="6" t="str">
        <f t="shared" si="54"/>
        <v>大专</v>
      </c>
      <c r="G146" s="6" t="s">
        <v>11</v>
      </c>
      <c r="H146" s="6" t="str">
        <f t="shared" si="64"/>
        <v>海南科技职业大学</v>
      </c>
      <c r="I146" s="6" t="str">
        <f t="shared" si="59"/>
        <v>护士资格证</v>
      </c>
    </row>
    <row r="147" spans="1:9" s="1" customFormat="1" ht="30" customHeight="1">
      <c r="A147" s="6">
        <v>145</v>
      </c>
      <c r="B147" s="6" t="s">
        <v>10</v>
      </c>
      <c r="C147" s="6" t="str">
        <f>"王丹"</f>
        <v>王丹</v>
      </c>
      <c r="D147" s="6" t="str">
        <f t="shared" si="62"/>
        <v>女</v>
      </c>
      <c r="E147" s="6" t="str">
        <f>"1994-05-25"</f>
        <v>1994-05-25</v>
      </c>
      <c r="F147" s="6" t="str">
        <f t="shared" si="54"/>
        <v>大专</v>
      </c>
      <c r="G147" s="6" t="str">
        <f t="shared" si="63"/>
        <v>护理</v>
      </c>
      <c r="H147" s="6" t="str">
        <f>"长春医学高等专科学校"</f>
        <v>长春医学高等专科学校</v>
      </c>
      <c r="I147" s="6" t="str">
        <f t="shared" si="59"/>
        <v>护士资格证</v>
      </c>
    </row>
    <row r="148" spans="1:9" s="1" customFormat="1" ht="30" customHeight="1">
      <c r="A148" s="6">
        <v>146</v>
      </c>
      <c r="B148" s="6" t="s">
        <v>10</v>
      </c>
      <c r="C148" s="6" t="str">
        <f>"王晶"</f>
        <v>王晶</v>
      </c>
      <c r="D148" s="6" t="str">
        <f t="shared" si="62"/>
        <v>女</v>
      </c>
      <c r="E148" s="6" t="str">
        <f>"1999-12-04"</f>
        <v>1999-12-04</v>
      </c>
      <c r="F148" s="6" t="str">
        <f t="shared" si="54"/>
        <v>大专</v>
      </c>
      <c r="G148" s="6" t="str">
        <f t="shared" si="63"/>
        <v>护理</v>
      </c>
      <c r="H148" s="6" t="str">
        <f>"海南医学院"</f>
        <v>海南医学院</v>
      </c>
      <c r="I148" s="6" t="str">
        <f t="shared" si="59"/>
        <v>护士资格证</v>
      </c>
    </row>
    <row r="149" spans="1:9" s="1" customFormat="1" ht="30" customHeight="1">
      <c r="A149" s="6">
        <v>147</v>
      </c>
      <c r="B149" s="6" t="s">
        <v>10</v>
      </c>
      <c r="C149" s="6" t="str">
        <f>"羊秀霞"</f>
        <v>羊秀霞</v>
      </c>
      <c r="D149" s="6" t="str">
        <f t="shared" si="62"/>
        <v>女</v>
      </c>
      <c r="E149" s="6" t="str">
        <f>"2000-05-07"</f>
        <v>2000-05-07</v>
      </c>
      <c r="F149" s="6" t="str">
        <f t="shared" si="54"/>
        <v>大专</v>
      </c>
      <c r="G149" s="6" t="str">
        <f t="shared" si="63"/>
        <v>护理</v>
      </c>
      <c r="H149" s="6" t="str">
        <f>"湖南医药学院"</f>
        <v>湖南医药学院</v>
      </c>
      <c r="I149" s="6" t="str">
        <f t="shared" si="59"/>
        <v>护士资格证</v>
      </c>
    </row>
    <row r="150" spans="1:9" s="1" customFormat="1" ht="30" customHeight="1">
      <c r="A150" s="6">
        <v>148</v>
      </c>
      <c r="B150" s="6" t="s">
        <v>10</v>
      </c>
      <c r="C150" s="6" t="str">
        <f>"张德爱"</f>
        <v>张德爱</v>
      </c>
      <c r="D150" s="6" t="str">
        <f t="shared" si="62"/>
        <v>女</v>
      </c>
      <c r="E150" s="6" t="str">
        <f>"1999-11-19"</f>
        <v>1999-11-19</v>
      </c>
      <c r="F150" s="6" t="str">
        <f t="shared" si="54"/>
        <v>大专</v>
      </c>
      <c r="G150" s="6" t="s">
        <v>11</v>
      </c>
      <c r="H150" s="6" t="str">
        <f t="shared" si="64"/>
        <v>海南科技职业大学</v>
      </c>
      <c r="I150" s="6" t="str">
        <f aca="true" t="shared" si="65" ref="I150:I154">"护士资格证"</f>
        <v>护士资格证</v>
      </c>
    </row>
    <row r="151" spans="1:9" s="1" customFormat="1" ht="30" customHeight="1">
      <c r="A151" s="6">
        <v>149</v>
      </c>
      <c r="B151" s="6" t="s">
        <v>10</v>
      </c>
      <c r="C151" s="6" t="str">
        <f>"张海娇"</f>
        <v>张海娇</v>
      </c>
      <c r="D151" s="6" t="str">
        <f t="shared" si="62"/>
        <v>女</v>
      </c>
      <c r="E151" s="6" t="str">
        <f>"1999-06-24"</f>
        <v>1999-06-24</v>
      </c>
      <c r="F151" s="6" t="str">
        <f t="shared" si="54"/>
        <v>大专</v>
      </c>
      <c r="G151" s="6" t="str">
        <f>"助产"</f>
        <v>助产</v>
      </c>
      <c r="H151" s="6" t="str">
        <f>"仙桃职业学院"</f>
        <v>仙桃职业学院</v>
      </c>
      <c r="I151" s="6" t="str">
        <f t="shared" si="65"/>
        <v>护士资格证</v>
      </c>
    </row>
    <row r="152" spans="1:9" s="1" customFormat="1" ht="30" customHeight="1">
      <c r="A152" s="6">
        <v>150</v>
      </c>
      <c r="B152" s="6" t="s">
        <v>10</v>
      </c>
      <c r="C152" s="6" t="str">
        <f>"苏贞春"</f>
        <v>苏贞春</v>
      </c>
      <c r="D152" s="6" t="str">
        <f t="shared" si="62"/>
        <v>女</v>
      </c>
      <c r="E152" s="6" t="str">
        <f>"1998-10-28"</f>
        <v>1998-10-28</v>
      </c>
      <c r="F152" s="6" t="str">
        <f t="shared" si="54"/>
        <v>大专</v>
      </c>
      <c r="G152" s="6" t="str">
        <f aca="true" t="shared" si="66" ref="G152:G157">"护理学"</f>
        <v>护理学</v>
      </c>
      <c r="H152" s="6" t="str">
        <f>"海南科技职业大学"</f>
        <v>海南科技职业大学</v>
      </c>
      <c r="I152" s="6" t="str">
        <f t="shared" si="65"/>
        <v>护士资格证</v>
      </c>
    </row>
    <row r="153" spans="1:9" s="1" customFormat="1" ht="30" customHeight="1">
      <c r="A153" s="6">
        <v>151</v>
      </c>
      <c r="B153" s="6" t="s">
        <v>10</v>
      </c>
      <c r="C153" s="6" t="str">
        <f>"羊庆娜"</f>
        <v>羊庆娜</v>
      </c>
      <c r="D153" s="6" t="str">
        <f t="shared" si="62"/>
        <v>女</v>
      </c>
      <c r="E153" s="6" t="str">
        <f>"1997-10-19"</f>
        <v>1997-10-19</v>
      </c>
      <c r="F153" s="6" t="str">
        <f t="shared" si="54"/>
        <v>大专</v>
      </c>
      <c r="G153" s="6" t="str">
        <f t="shared" si="66"/>
        <v>护理学</v>
      </c>
      <c r="H153" s="6" t="str">
        <f>"黄淮学院"</f>
        <v>黄淮学院</v>
      </c>
      <c r="I153" s="6" t="str">
        <f t="shared" si="65"/>
        <v>护士资格证</v>
      </c>
    </row>
    <row r="154" spans="1:9" s="1" customFormat="1" ht="30" customHeight="1">
      <c r="A154" s="6">
        <v>152</v>
      </c>
      <c r="B154" s="6" t="s">
        <v>10</v>
      </c>
      <c r="C154" s="6" t="str">
        <f>"吉小翠"</f>
        <v>吉小翠</v>
      </c>
      <c r="D154" s="6" t="str">
        <f t="shared" si="62"/>
        <v>女</v>
      </c>
      <c r="E154" s="6" t="str">
        <f>"2001-10-16"</f>
        <v>2001-10-16</v>
      </c>
      <c r="F154" s="6" t="str">
        <f t="shared" si="54"/>
        <v>大专</v>
      </c>
      <c r="G154" s="6" t="str">
        <f aca="true" t="shared" si="67" ref="G154:G158">"护理"</f>
        <v>护理</v>
      </c>
      <c r="H154" s="6" t="str">
        <f>"海南科技职业大学"</f>
        <v>海南科技职业大学</v>
      </c>
      <c r="I154" s="6" t="str">
        <f t="shared" si="65"/>
        <v>护士资格证</v>
      </c>
    </row>
    <row r="155" spans="1:9" s="1" customFormat="1" ht="30" customHeight="1">
      <c r="A155" s="6">
        <v>153</v>
      </c>
      <c r="B155" s="6" t="s">
        <v>10</v>
      </c>
      <c r="C155" s="6" t="str">
        <f>"陈圣花"</f>
        <v>陈圣花</v>
      </c>
      <c r="D155" s="6" t="str">
        <f t="shared" si="62"/>
        <v>女</v>
      </c>
      <c r="E155" s="6" t="str">
        <f>"2001-01-20"</f>
        <v>2001-01-20</v>
      </c>
      <c r="F155" s="6" t="str">
        <f t="shared" si="54"/>
        <v>大专</v>
      </c>
      <c r="G155" s="6" t="str">
        <f t="shared" si="67"/>
        <v>护理</v>
      </c>
      <c r="H155" s="6" t="str">
        <f>"天津医学高等专科学校"</f>
        <v>天津医学高等专科学校</v>
      </c>
      <c r="I155" s="6" t="str">
        <f aca="true" t="shared" si="68" ref="I155:I159">"护士资格证"</f>
        <v>护士资格证</v>
      </c>
    </row>
    <row r="156" spans="1:9" s="1" customFormat="1" ht="30" customHeight="1">
      <c r="A156" s="6">
        <v>154</v>
      </c>
      <c r="B156" s="6" t="s">
        <v>10</v>
      </c>
      <c r="C156" s="6" t="str">
        <f>"符玉新"</f>
        <v>符玉新</v>
      </c>
      <c r="D156" s="6" t="str">
        <f t="shared" si="62"/>
        <v>女</v>
      </c>
      <c r="E156" s="6" t="str">
        <f>"1997-10-16"</f>
        <v>1997-10-16</v>
      </c>
      <c r="F156" s="6" t="str">
        <f t="shared" si="54"/>
        <v>大专</v>
      </c>
      <c r="G156" s="6" t="str">
        <f t="shared" si="66"/>
        <v>护理学</v>
      </c>
      <c r="H156" s="6" t="str">
        <f>"海南省第二卫生学校"</f>
        <v>海南省第二卫生学校</v>
      </c>
      <c r="I156" s="6" t="str">
        <f t="shared" si="68"/>
        <v>护士资格证</v>
      </c>
    </row>
    <row r="157" spans="1:9" s="1" customFormat="1" ht="30" customHeight="1">
      <c r="A157" s="6">
        <v>155</v>
      </c>
      <c r="B157" s="6" t="s">
        <v>10</v>
      </c>
      <c r="C157" s="6" t="str">
        <f>"许桦"</f>
        <v>许桦</v>
      </c>
      <c r="D157" s="6" t="str">
        <f t="shared" si="62"/>
        <v>女</v>
      </c>
      <c r="E157" s="6" t="str">
        <f>"1998-02-10"</f>
        <v>1998-02-10</v>
      </c>
      <c r="F157" s="6" t="str">
        <f t="shared" si="54"/>
        <v>大专</v>
      </c>
      <c r="G157" s="6" t="str">
        <f t="shared" si="66"/>
        <v>护理学</v>
      </c>
      <c r="H157" s="6" t="str">
        <f>"中南大学"</f>
        <v>中南大学</v>
      </c>
      <c r="I157" s="6" t="str">
        <f t="shared" si="68"/>
        <v>护士资格证</v>
      </c>
    </row>
    <row r="158" spans="1:9" s="1" customFormat="1" ht="30" customHeight="1">
      <c r="A158" s="6">
        <v>156</v>
      </c>
      <c r="B158" s="6" t="s">
        <v>10</v>
      </c>
      <c r="C158" s="6" t="str">
        <f>"陈幸妹"</f>
        <v>陈幸妹</v>
      </c>
      <c r="D158" s="6" t="str">
        <f t="shared" si="62"/>
        <v>女</v>
      </c>
      <c r="E158" s="6" t="str">
        <f>"2000-05-25"</f>
        <v>2000-05-25</v>
      </c>
      <c r="F158" s="6" t="str">
        <f t="shared" si="54"/>
        <v>大专</v>
      </c>
      <c r="G158" s="6" t="str">
        <f t="shared" si="67"/>
        <v>护理</v>
      </c>
      <c r="H158" s="6" t="str">
        <f aca="true" t="shared" si="69" ref="H158:H163">"海南科技职业大学"</f>
        <v>海南科技职业大学</v>
      </c>
      <c r="I158" s="6" t="str">
        <f t="shared" si="68"/>
        <v>护士资格证</v>
      </c>
    </row>
    <row r="159" spans="1:9" s="1" customFormat="1" ht="30" customHeight="1">
      <c r="A159" s="6">
        <v>157</v>
      </c>
      <c r="B159" s="6" t="s">
        <v>10</v>
      </c>
      <c r="C159" s="6" t="str">
        <f>"吴亚妹"</f>
        <v>吴亚妹</v>
      </c>
      <c r="D159" s="6" t="str">
        <f t="shared" si="62"/>
        <v>女</v>
      </c>
      <c r="E159" s="6" t="str">
        <f>"1998-10-17"</f>
        <v>1998-10-17</v>
      </c>
      <c r="F159" s="6" t="str">
        <f t="shared" si="54"/>
        <v>大专</v>
      </c>
      <c r="G159" s="6" t="s">
        <v>11</v>
      </c>
      <c r="H159" s="6" t="str">
        <f>"海南省第三卫生学校"</f>
        <v>海南省第三卫生学校</v>
      </c>
      <c r="I159" s="6" t="str">
        <f t="shared" si="68"/>
        <v>护士资格证</v>
      </c>
    </row>
    <row r="160" spans="1:9" s="1" customFormat="1" ht="30" customHeight="1">
      <c r="A160" s="6">
        <v>158</v>
      </c>
      <c r="B160" s="6" t="s">
        <v>10</v>
      </c>
      <c r="C160" s="6" t="str">
        <f>"黄欢欢"</f>
        <v>黄欢欢</v>
      </c>
      <c r="D160" s="6" t="str">
        <f t="shared" si="62"/>
        <v>女</v>
      </c>
      <c r="E160" s="6" t="str">
        <f>"1999-12-20"</f>
        <v>1999-12-20</v>
      </c>
      <c r="F160" s="6" t="str">
        <f t="shared" si="54"/>
        <v>大专</v>
      </c>
      <c r="G160" s="6" t="str">
        <f>"护理学"</f>
        <v>护理学</v>
      </c>
      <c r="H160" s="6" t="str">
        <f>"江西工商职业技术学院"</f>
        <v>江西工商职业技术学院</v>
      </c>
      <c r="I160" s="6" t="str">
        <f aca="true" t="shared" si="70" ref="I160:I167">"护士资格证"</f>
        <v>护士资格证</v>
      </c>
    </row>
    <row r="161" spans="1:9" s="1" customFormat="1" ht="30" customHeight="1">
      <c r="A161" s="6">
        <v>159</v>
      </c>
      <c r="B161" s="6" t="s">
        <v>10</v>
      </c>
      <c r="C161" s="6" t="str">
        <f>"高童"</f>
        <v>高童</v>
      </c>
      <c r="D161" s="6" t="str">
        <f t="shared" si="62"/>
        <v>女</v>
      </c>
      <c r="E161" s="6" t="str">
        <f>"1997-02-25"</f>
        <v>1997-02-25</v>
      </c>
      <c r="F161" s="6" t="str">
        <f t="shared" si="54"/>
        <v>大专</v>
      </c>
      <c r="G161" s="6" t="str">
        <f aca="true" t="shared" si="71" ref="G161:G164">"护理"</f>
        <v>护理</v>
      </c>
      <c r="H161" s="6" t="str">
        <f>"海南医学院"</f>
        <v>海南医学院</v>
      </c>
      <c r="I161" s="6" t="str">
        <f t="shared" si="70"/>
        <v>护士资格证</v>
      </c>
    </row>
    <row r="162" spans="1:9" s="1" customFormat="1" ht="30" customHeight="1">
      <c r="A162" s="6">
        <v>160</v>
      </c>
      <c r="B162" s="6" t="s">
        <v>10</v>
      </c>
      <c r="C162" s="6" t="str">
        <f>"林少茵"</f>
        <v>林少茵</v>
      </c>
      <c r="D162" s="6" t="str">
        <f t="shared" si="62"/>
        <v>女</v>
      </c>
      <c r="E162" s="6" t="str">
        <f>"2001-03-13"</f>
        <v>2001-03-13</v>
      </c>
      <c r="F162" s="6" t="str">
        <f t="shared" si="54"/>
        <v>大专</v>
      </c>
      <c r="G162" s="6" t="s">
        <v>11</v>
      </c>
      <c r="H162" s="6" t="str">
        <f t="shared" si="69"/>
        <v>海南科技职业大学</v>
      </c>
      <c r="I162" s="6" t="str">
        <f t="shared" si="70"/>
        <v>护士资格证</v>
      </c>
    </row>
    <row r="163" spans="1:9" s="1" customFormat="1" ht="30" customHeight="1">
      <c r="A163" s="6">
        <v>161</v>
      </c>
      <c r="B163" s="6" t="s">
        <v>10</v>
      </c>
      <c r="C163" s="6" t="str">
        <f>"吴倪"</f>
        <v>吴倪</v>
      </c>
      <c r="D163" s="6" t="str">
        <f t="shared" si="62"/>
        <v>女</v>
      </c>
      <c r="E163" s="6" t="str">
        <f>"2002-10-06"</f>
        <v>2002-10-06</v>
      </c>
      <c r="F163" s="6" t="str">
        <f t="shared" si="54"/>
        <v>大专</v>
      </c>
      <c r="G163" s="6" t="str">
        <f t="shared" si="71"/>
        <v>护理</v>
      </c>
      <c r="H163" s="6" t="str">
        <f t="shared" si="69"/>
        <v>海南科技职业大学</v>
      </c>
      <c r="I163" s="6" t="str">
        <f t="shared" si="70"/>
        <v>护士资格证</v>
      </c>
    </row>
    <row r="164" spans="1:9" s="1" customFormat="1" ht="30" customHeight="1">
      <c r="A164" s="6">
        <v>162</v>
      </c>
      <c r="B164" s="6" t="s">
        <v>10</v>
      </c>
      <c r="C164" s="6" t="str">
        <f>"李晓藤"</f>
        <v>李晓藤</v>
      </c>
      <c r="D164" s="6" t="str">
        <f t="shared" si="62"/>
        <v>女</v>
      </c>
      <c r="E164" s="6" t="str">
        <f>"1994-08-15"</f>
        <v>1994-08-15</v>
      </c>
      <c r="F164" s="6" t="str">
        <f t="shared" si="54"/>
        <v>大专</v>
      </c>
      <c r="G164" s="6" t="str">
        <f t="shared" si="71"/>
        <v>护理</v>
      </c>
      <c r="H164" s="6" t="str">
        <f>"五指山市第二卫生学校"</f>
        <v>五指山市第二卫生学校</v>
      </c>
      <c r="I164" s="6" t="str">
        <f t="shared" si="70"/>
        <v>护士资格证</v>
      </c>
    </row>
    <row r="165" spans="1:9" s="1" customFormat="1" ht="30" customHeight="1">
      <c r="A165" s="6">
        <v>163</v>
      </c>
      <c r="B165" s="6" t="s">
        <v>10</v>
      </c>
      <c r="C165" s="6" t="str">
        <f>"谢永娟"</f>
        <v>谢永娟</v>
      </c>
      <c r="D165" s="6" t="str">
        <f t="shared" si="62"/>
        <v>女</v>
      </c>
      <c r="E165" s="6" t="str">
        <f>"2000-11-24"</f>
        <v>2000-11-24</v>
      </c>
      <c r="F165" s="6" t="str">
        <f t="shared" si="54"/>
        <v>大专</v>
      </c>
      <c r="G165" s="6" t="s">
        <v>11</v>
      </c>
      <c r="H165" s="6" t="str">
        <f>"荆州职业技术学院"</f>
        <v>荆州职业技术学院</v>
      </c>
      <c r="I165" s="6" t="str">
        <f t="shared" si="70"/>
        <v>护士资格证</v>
      </c>
    </row>
    <row r="166" spans="1:9" s="1" customFormat="1" ht="30" customHeight="1">
      <c r="A166" s="6">
        <v>164</v>
      </c>
      <c r="B166" s="6" t="s">
        <v>10</v>
      </c>
      <c r="C166" s="6" t="str">
        <f>"李沈蔚"</f>
        <v>李沈蔚</v>
      </c>
      <c r="D166" s="6" t="str">
        <f t="shared" si="62"/>
        <v>女</v>
      </c>
      <c r="E166" s="6" t="str">
        <f>"2000-05-02"</f>
        <v>2000-05-02</v>
      </c>
      <c r="F166" s="6" t="str">
        <f t="shared" si="54"/>
        <v>大专</v>
      </c>
      <c r="G166" s="6" t="str">
        <f aca="true" t="shared" si="72" ref="G166:G170">"护理"</f>
        <v>护理</v>
      </c>
      <c r="H166" s="6" t="str">
        <f aca="true" t="shared" si="73" ref="H166:H171">"海南科技职业大学"</f>
        <v>海南科技职业大学</v>
      </c>
      <c r="I166" s="6" t="str">
        <f t="shared" si="70"/>
        <v>护士资格证</v>
      </c>
    </row>
    <row r="167" spans="1:9" s="1" customFormat="1" ht="30" customHeight="1">
      <c r="A167" s="6">
        <v>165</v>
      </c>
      <c r="B167" s="6" t="s">
        <v>10</v>
      </c>
      <c r="C167" s="6" t="str">
        <f>"王如婷"</f>
        <v>王如婷</v>
      </c>
      <c r="D167" s="6" t="str">
        <f t="shared" si="62"/>
        <v>女</v>
      </c>
      <c r="E167" s="6" t="str">
        <f>"2000-11-18"</f>
        <v>2000-11-18</v>
      </c>
      <c r="F167" s="6" t="str">
        <f t="shared" si="54"/>
        <v>大专</v>
      </c>
      <c r="G167" s="6" t="str">
        <f>"国际护理"</f>
        <v>国际护理</v>
      </c>
      <c r="H167" s="6" t="str">
        <f t="shared" si="73"/>
        <v>海南科技职业大学</v>
      </c>
      <c r="I167" s="6" t="str">
        <f t="shared" si="70"/>
        <v>护士资格证</v>
      </c>
    </row>
    <row r="168" spans="1:9" s="1" customFormat="1" ht="30" customHeight="1">
      <c r="A168" s="6">
        <v>166</v>
      </c>
      <c r="B168" s="6" t="s">
        <v>10</v>
      </c>
      <c r="C168" s="6" t="str">
        <f>"蔡秋燕"</f>
        <v>蔡秋燕</v>
      </c>
      <c r="D168" s="6" t="str">
        <f t="shared" si="62"/>
        <v>女</v>
      </c>
      <c r="E168" s="6" t="str">
        <f>"2000-08-27"</f>
        <v>2000-08-27</v>
      </c>
      <c r="F168" s="6" t="str">
        <f t="shared" si="54"/>
        <v>大专</v>
      </c>
      <c r="G168" s="6" t="str">
        <f t="shared" si="72"/>
        <v>护理</v>
      </c>
      <c r="H168" s="6" t="str">
        <f>"海南医学院"</f>
        <v>海南医学院</v>
      </c>
      <c r="I168" s="6" t="str">
        <f aca="true" t="shared" si="74" ref="I168:I170">"护士资格证"</f>
        <v>护士资格证</v>
      </c>
    </row>
    <row r="169" spans="1:9" s="1" customFormat="1" ht="30" customHeight="1">
      <c r="A169" s="6">
        <v>167</v>
      </c>
      <c r="B169" s="6" t="s">
        <v>10</v>
      </c>
      <c r="C169" s="6" t="str">
        <f>"李珅劭"</f>
        <v>李珅劭</v>
      </c>
      <c r="D169" s="6" t="str">
        <f t="shared" si="62"/>
        <v>女</v>
      </c>
      <c r="E169" s="6" t="str">
        <f>"1999-11-12"</f>
        <v>1999-11-12</v>
      </c>
      <c r="F169" s="6" t="str">
        <f t="shared" si="54"/>
        <v>大专</v>
      </c>
      <c r="G169" s="6" t="str">
        <f>"护理学"</f>
        <v>护理学</v>
      </c>
      <c r="H169" s="6" t="str">
        <f>"南阳医学高等专科学校"</f>
        <v>南阳医学高等专科学校</v>
      </c>
      <c r="I169" s="6" t="str">
        <f t="shared" si="74"/>
        <v>护士资格证</v>
      </c>
    </row>
    <row r="170" spans="1:9" s="1" customFormat="1" ht="30" customHeight="1">
      <c r="A170" s="6">
        <v>168</v>
      </c>
      <c r="B170" s="6" t="s">
        <v>10</v>
      </c>
      <c r="C170" s="6" t="str">
        <f>"林玉霞"</f>
        <v>林玉霞</v>
      </c>
      <c r="D170" s="6" t="str">
        <f t="shared" si="62"/>
        <v>女</v>
      </c>
      <c r="E170" s="6" t="str">
        <f>"1999-06-10"</f>
        <v>1999-06-10</v>
      </c>
      <c r="F170" s="6" t="str">
        <f t="shared" si="54"/>
        <v>大专</v>
      </c>
      <c r="G170" s="6" t="str">
        <f t="shared" si="72"/>
        <v>护理</v>
      </c>
      <c r="H170" s="6" t="str">
        <f aca="true" t="shared" si="75" ref="H170:H175">"荆州职业技术学院"</f>
        <v>荆州职业技术学院</v>
      </c>
      <c r="I170" s="6" t="str">
        <f t="shared" si="74"/>
        <v>护士资格证</v>
      </c>
    </row>
    <row r="171" spans="1:9" s="1" customFormat="1" ht="30" customHeight="1">
      <c r="A171" s="6">
        <v>169</v>
      </c>
      <c r="B171" s="6" t="s">
        <v>10</v>
      </c>
      <c r="C171" s="6" t="str">
        <f>"陈红"</f>
        <v>陈红</v>
      </c>
      <c r="D171" s="6" t="str">
        <f t="shared" si="62"/>
        <v>女</v>
      </c>
      <c r="E171" s="6" t="str">
        <f>"2002-02-27"</f>
        <v>2002-02-27</v>
      </c>
      <c r="F171" s="6" t="str">
        <f t="shared" si="54"/>
        <v>大专</v>
      </c>
      <c r="G171" s="6" t="s">
        <v>11</v>
      </c>
      <c r="H171" s="6" t="str">
        <f t="shared" si="73"/>
        <v>海南科技职业大学</v>
      </c>
      <c r="I171" s="6" t="str">
        <f aca="true" t="shared" si="76" ref="I171:I175">"护士资格证"</f>
        <v>护士资格证</v>
      </c>
    </row>
    <row r="172" spans="1:9" s="1" customFormat="1" ht="30" customHeight="1">
      <c r="A172" s="6">
        <v>170</v>
      </c>
      <c r="B172" s="6" t="s">
        <v>10</v>
      </c>
      <c r="C172" s="6" t="str">
        <f>"杨朝辉"</f>
        <v>杨朝辉</v>
      </c>
      <c r="D172" s="6" t="str">
        <f aca="true" t="shared" si="77" ref="D172:D175">"男"</f>
        <v>男</v>
      </c>
      <c r="E172" s="6" t="str">
        <f>"2000-01-17"</f>
        <v>2000-01-17</v>
      </c>
      <c r="F172" s="6" t="str">
        <f t="shared" si="54"/>
        <v>大专</v>
      </c>
      <c r="G172" s="6" t="str">
        <f aca="true" t="shared" si="78" ref="G172:G175">"护理"</f>
        <v>护理</v>
      </c>
      <c r="H172" s="6" t="str">
        <f>"山西医科大学"</f>
        <v>山西医科大学</v>
      </c>
      <c r="I172" s="6" t="str">
        <f t="shared" si="76"/>
        <v>护士资格证</v>
      </c>
    </row>
    <row r="173" spans="1:9" s="1" customFormat="1" ht="30" customHeight="1">
      <c r="A173" s="6">
        <v>171</v>
      </c>
      <c r="B173" s="6" t="s">
        <v>10</v>
      </c>
      <c r="C173" s="6" t="str">
        <f>"陈君"</f>
        <v>陈君</v>
      </c>
      <c r="D173" s="6" t="str">
        <f aca="true" t="shared" si="79" ref="D173:D189">"女"</f>
        <v>女</v>
      </c>
      <c r="E173" s="6" t="str">
        <f>"2000-04-22"</f>
        <v>2000-04-22</v>
      </c>
      <c r="F173" s="6" t="str">
        <f t="shared" si="54"/>
        <v>大专</v>
      </c>
      <c r="G173" s="6" t="str">
        <f t="shared" si="78"/>
        <v>护理</v>
      </c>
      <c r="H173" s="6" t="str">
        <f>"湖南医药学院"</f>
        <v>湖南医药学院</v>
      </c>
      <c r="I173" s="6" t="str">
        <f t="shared" si="76"/>
        <v>护士资格证</v>
      </c>
    </row>
    <row r="174" spans="1:9" s="1" customFormat="1" ht="30" customHeight="1">
      <c r="A174" s="6">
        <v>172</v>
      </c>
      <c r="B174" s="6" t="s">
        <v>10</v>
      </c>
      <c r="C174" s="6" t="str">
        <f>"罗才禹"</f>
        <v>罗才禹</v>
      </c>
      <c r="D174" s="6" t="str">
        <f t="shared" si="77"/>
        <v>男</v>
      </c>
      <c r="E174" s="6" t="str">
        <f>"1999-04-30"</f>
        <v>1999-04-30</v>
      </c>
      <c r="F174" s="6" t="str">
        <f t="shared" si="54"/>
        <v>大专</v>
      </c>
      <c r="G174" s="6" t="str">
        <f t="shared" si="78"/>
        <v>护理</v>
      </c>
      <c r="H174" s="6" t="str">
        <f t="shared" si="75"/>
        <v>荆州职业技术学院</v>
      </c>
      <c r="I174" s="6" t="str">
        <f t="shared" si="76"/>
        <v>护士资格证</v>
      </c>
    </row>
    <row r="175" spans="1:9" s="1" customFormat="1" ht="30" customHeight="1">
      <c r="A175" s="6">
        <v>173</v>
      </c>
      <c r="B175" s="6" t="s">
        <v>10</v>
      </c>
      <c r="C175" s="6" t="str">
        <f>"陈荣善"</f>
        <v>陈荣善</v>
      </c>
      <c r="D175" s="6" t="str">
        <f t="shared" si="77"/>
        <v>男</v>
      </c>
      <c r="E175" s="6" t="str">
        <f>"1998-12-28"</f>
        <v>1998-12-28</v>
      </c>
      <c r="F175" s="6" t="str">
        <f t="shared" si="54"/>
        <v>大专</v>
      </c>
      <c r="G175" s="6" t="str">
        <f t="shared" si="78"/>
        <v>护理</v>
      </c>
      <c r="H175" s="6" t="str">
        <f t="shared" si="75"/>
        <v>荆州职业技术学院</v>
      </c>
      <c r="I175" s="6" t="str">
        <f t="shared" si="76"/>
        <v>护士资格证</v>
      </c>
    </row>
    <row r="176" spans="1:9" s="1" customFormat="1" ht="30" customHeight="1">
      <c r="A176" s="6">
        <v>174</v>
      </c>
      <c r="B176" s="6" t="s">
        <v>10</v>
      </c>
      <c r="C176" s="6" t="str">
        <f>"容亚愉"</f>
        <v>容亚愉</v>
      </c>
      <c r="D176" s="6" t="str">
        <f t="shared" si="79"/>
        <v>女</v>
      </c>
      <c r="E176" s="6" t="str">
        <f>"1997-01-20"</f>
        <v>1997-01-20</v>
      </c>
      <c r="F176" s="6" t="str">
        <f t="shared" si="54"/>
        <v>大专</v>
      </c>
      <c r="G176" s="6" t="str">
        <f aca="true" t="shared" si="80" ref="G176:G178">"护理学"</f>
        <v>护理学</v>
      </c>
      <c r="H176" s="6" t="str">
        <f>"黔南民族医学高等专科学校"</f>
        <v>黔南民族医学高等专科学校</v>
      </c>
      <c r="I176" s="6" t="str">
        <f aca="true" t="shared" si="81" ref="I176:I181">"护士资格证"</f>
        <v>护士资格证</v>
      </c>
    </row>
    <row r="177" spans="1:9" s="1" customFormat="1" ht="30" customHeight="1">
      <c r="A177" s="6">
        <v>175</v>
      </c>
      <c r="B177" s="6" t="s">
        <v>10</v>
      </c>
      <c r="C177" s="6" t="str">
        <f>"李亚妹"</f>
        <v>李亚妹</v>
      </c>
      <c r="D177" s="6" t="str">
        <f t="shared" si="79"/>
        <v>女</v>
      </c>
      <c r="E177" s="6" t="str">
        <f>"1996-07-10"</f>
        <v>1996-07-10</v>
      </c>
      <c r="F177" s="6" t="str">
        <f t="shared" si="54"/>
        <v>大专</v>
      </c>
      <c r="G177" s="6" t="str">
        <f t="shared" si="80"/>
        <v>护理学</v>
      </c>
      <c r="H177" s="6" t="str">
        <f aca="true" t="shared" si="82" ref="H177:H182">"海南医学院"</f>
        <v>海南医学院</v>
      </c>
      <c r="I177" s="6" t="str">
        <f t="shared" si="81"/>
        <v>护士资格证</v>
      </c>
    </row>
    <row r="178" spans="1:9" s="1" customFormat="1" ht="30" customHeight="1">
      <c r="A178" s="6">
        <v>176</v>
      </c>
      <c r="B178" s="6" t="s">
        <v>10</v>
      </c>
      <c r="C178" s="6" t="str">
        <f>"陈永会"</f>
        <v>陈永会</v>
      </c>
      <c r="D178" s="6" t="str">
        <f t="shared" si="79"/>
        <v>女</v>
      </c>
      <c r="E178" s="6" t="str">
        <f>"1997-05-07"</f>
        <v>1997-05-07</v>
      </c>
      <c r="F178" s="6" t="str">
        <f t="shared" si="54"/>
        <v>大专</v>
      </c>
      <c r="G178" s="6" t="str">
        <f t="shared" si="80"/>
        <v>护理学</v>
      </c>
      <c r="H178" s="6" t="str">
        <f aca="true" t="shared" si="83" ref="H178:H181">"海南科技职业大学"</f>
        <v>海南科技职业大学</v>
      </c>
      <c r="I178" s="6" t="str">
        <f t="shared" si="81"/>
        <v>护士资格证</v>
      </c>
    </row>
    <row r="179" spans="1:9" s="1" customFormat="1" ht="30" customHeight="1">
      <c r="A179" s="6">
        <v>177</v>
      </c>
      <c r="B179" s="6" t="s">
        <v>10</v>
      </c>
      <c r="C179" s="6" t="str">
        <f>"林岩秀"</f>
        <v>林岩秀</v>
      </c>
      <c r="D179" s="6" t="str">
        <f t="shared" si="79"/>
        <v>女</v>
      </c>
      <c r="E179" s="6" t="str">
        <f>"2001-02-27"</f>
        <v>2001-02-27</v>
      </c>
      <c r="F179" s="6" t="str">
        <f t="shared" si="54"/>
        <v>大专</v>
      </c>
      <c r="G179" s="6" t="s">
        <v>11</v>
      </c>
      <c r="H179" s="6" t="str">
        <f t="shared" si="83"/>
        <v>海南科技职业大学</v>
      </c>
      <c r="I179" s="6" t="str">
        <f t="shared" si="81"/>
        <v>护士资格证</v>
      </c>
    </row>
    <row r="180" spans="1:9" s="1" customFormat="1" ht="30" customHeight="1">
      <c r="A180" s="6">
        <v>178</v>
      </c>
      <c r="B180" s="6" t="s">
        <v>10</v>
      </c>
      <c r="C180" s="6" t="str">
        <f>"赵运合"</f>
        <v>赵运合</v>
      </c>
      <c r="D180" s="6" t="str">
        <f t="shared" si="79"/>
        <v>女</v>
      </c>
      <c r="E180" s="6" t="str">
        <f>"1999-10-06"</f>
        <v>1999-10-06</v>
      </c>
      <c r="F180" s="6" t="str">
        <f t="shared" si="54"/>
        <v>大专</v>
      </c>
      <c r="G180" s="6" t="str">
        <f aca="true" t="shared" si="84" ref="G180:G191">"护理"</f>
        <v>护理</v>
      </c>
      <c r="H180" s="6" t="str">
        <f t="shared" si="82"/>
        <v>海南医学院</v>
      </c>
      <c r="I180" s="6" t="str">
        <f t="shared" si="81"/>
        <v>护士资格证</v>
      </c>
    </row>
    <row r="181" spans="1:9" s="1" customFormat="1" ht="30" customHeight="1">
      <c r="A181" s="6">
        <v>179</v>
      </c>
      <c r="B181" s="6" t="s">
        <v>10</v>
      </c>
      <c r="C181" s="6" t="str">
        <f>"颜俏俏"</f>
        <v>颜俏俏</v>
      </c>
      <c r="D181" s="6" t="str">
        <f t="shared" si="79"/>
        <v>女</v>
      </c>
      <c r="E181" s="6" t="str">
        <f>"2000-10-22"</f>
        <v>2000-10-22</v>
      </c>
      <c r="F181" s="6" t="str">
        <f t="shared" si="54"/>
        <v>大专</v>
      </c>
      <c r="G181" s="6" t="s">
        <v>11</v>
      </c>
      <c r="H181" s="6" t="str">
        <f t="shared" si="83"/>
        <v>海南科技职业大学</v>
      </c>
      <c r="I181" s="6" t="str">
        <f t="shared" si="81"/>
        <v>护士资格证</v>
      </c>
    </row>
    <row r="182" spans="1:9" s="1" customFormat="1" ht="30" customHeight="1">
      <c r="A182" s="6">
        <v>180</v>
      </c>
      <c r="B182" s="6" t="s">
        <v>10</v>
      </c>
      <c r="C182" s="6" t="str">
        <f>"郭惠昀"</f>
        <v>郭惠昀</v>
      </c>
      <c r="D182" s="6" t="str">
        <f t="shared" si="79"/>
        <v>女</v>
      </c>
      <c r="E182" s="6" t="str">
        <f>"2001-11-27"</f>
        <v>2001-11-27</v>
      </c>
      <c r="F182" s="6" t="str">
        <f t="shared" si="54"/>
        <v>大专</v>
      </c>
      <c r="G182" s="6" t="str">
        <f>"护理学"</f>
        <v>护理学</v>
      </c>
      <c r="H182" s="6" t="str">
        <f t="shared" si="82"/>
        <v>海南医学院</v>
      </c>
      <c r="I182" s="6" t="str">
        <f aca="true" t="shared" si="85" ref="I182:I184">"护士资格证"</f>
        <v>护士资格证</v>
      </c>
    </row>
    <row r="183" spans="1:9" s="1" customFormat="1" ht="30" customHeight="1">
      <c r="A183" s="6">
        <v>181</v>
      </c>
      <c r="B183" s="6" t="s">
        <v>10</v>
      </c>
      <c r="C183" s="6" t="str">
        <f>"黎经莲"</f>
        <v>黎经莲</v>
      </c>
      <c r="D183" s="6" t="str">
        <f t="shared" si="79"/>
        <v>女</v>
      </c>
      <c r="E183" s="6" t="str">
        <f>"1998-04-16"</f>
        <v>1998-04-16</v>
      </c>
      <c r="F183" s="6" t="str">
        <f t="shared" si="54"/>
        <v>大专</v>
      </c>
      <c r="G183" s="6" t="s">
        <v>11</v>
      </c>
      <c r="H183" s="6" t="str">
        <f>"四川中医药高等专科学校"</f>
        <v>四川中医药高等专科学校</v>
      </c>
      <c r="I183" s="6" t="str">
        <f t="shared" si="85"/>
        <v>护士资格证</v>
      </c>
    </row>
    <row r="184" spans="1:9" s="1" customFormat="1" ht="30" customHeight="1">
      <c r="A184" s="6">
        <v>182</v>
      </c>
      <c r="B184" s="6" t="s">
        <v>10</v>
      </c>
      <c r="C184" s="6" t="str">
        <f>"吴开姨"</f>
        <v>吴开姨</v>
      </c>
      <c r="D184" s="6" t="str">
        <f t="shared" si="79"/>
        <v>女</v>
      </c>
      <c r="E184" s="6" t="str">
        <f>"1999-10-29"</f>
        <v>1999-10-29</v>
      </c>
      <c r="F184" s="6" t="str">
        <f t="shared" si="54"/>
        <v>大专</v>
      </c>
      <c r="G184" s="6" t="str">
        <f t="shared" si="84"/>
        <v>护理</v>
      </c>
      <c r="H184" s="6" t="str">
        <f>"铜仁职业技术学院"</f>
        <v>铜仁职业技术学院</v>
      </c>
      <c r="I184" s="6" t="str">
        <f t="shared" si="85"/>
        <v>护士资格证</v>
      </c>
    </row>
    <row r="185" spans="1:9" s="1" customFormat="1" ht="30" customHeight="1">
      <c r="A185" s="6">
        <v>183</v>
      </c>
      <c r="B185" s="6" t="s">
        <v>10</v>
      </c>
      <c r="C185" s="6" t="str">
        <f>"曾妮"</f>
        <v>曾妮</v>
      </c>
      <c r="D185" s="6" t="str">
        <f t="shared" si="79"/>
        <v>女</v>
      </c>
      <c r="E185" s="6" t="str">
        <f>"2000-11-24"</f>
        <v>2000-11-24</v>
      </c>
      <c r="F185" s="6" t="str">
        <f t="shared" si="54"/>
        <v>大专</v>
      </c>
      <c r="G185" s="6" t="str">
        <f t="shared" si="84"/>
        <v>护理</v>
      </c>
      <c r="H185" s="6" t="str">
        <f>"海南科技职业大学"</f>
        <v>海南科技职业大学</v>
      </c>
      <c r="I185" s="6" t="str">
        <f aca="true" t="shared" si="86" ref="I185:I195">"护士资格证"</f>
        <v>护士资格证</v>
      </c>
    </row>
    <row r="186" spans="1:9" s="1" customFormat="1" ht="30" customHeight="1">
      <c r="A186" s="6">
        <v>184</v>
      </c>
      <c r="B186" s="6" t="s">
        <v>10</v>
      </c>
      <c r="C186" s="6" t="str">
        <f>"李婷"</f>
        <v>李婷</v>
      </c>
      <c r="D186" s="6" t="str">
        <f t="shared" si="79"/>
        <v>女</v>
      </c>
      <c r="E186" s="6" t="str">
        <f>"2000-06-16"</f>
        <v>2000-06-16</v>
      </c>
      <c r="F186" s="6" t="str">
        <f t="shared" si="54"/>
        <v>大专</v>
      </c>
      <c r="G186" s="6" t="str">
        <f t="shared" si="84"/>
        <v>护理</v>
      </c>
      <c r="H186" s="6" t="str">
        <f>"海南健康管理职业技术学院"</f>
        <v>海南健康管理职业技术学院</v>
      </c>
      <c r="I186" s="6" t="str">
        <f t="shared" si="86"/>
        <v>护士资格证</v>
      </c>
    </row>
    <row r="187" spans="1:9" s="1" customFormat="1" ht="30" customHeight="1">
      <c r="A187" s="6">
        <v>185</v>
      </c>
      <c r="B187" s="6" t="s">
        <v>10</v>
      </c>
      <c r="C187" s="6" t="str">
        <f>"胡海燕"</f>
        <v>胡海燕</v>
      </c>
      <c r="D187" s="6" t="str">
        <f t="shared" si="79"/>
        <v>女</v>
      </c>
      <c r="E187" s="6" t="str">
        <f>"2000-06-07"</f>
        <v>2000-06-07</v>
      </c>
      <c r="F187" s="6" t="str">
        <f t="shared" si="54"/>
        <v>大专</v>
      </c>
      <c r="G187" s="6" t="str">
        <f t="shared" si="84"/>
        <v>护理</v>
      </c>
      <c r="H187" s="6" t="str">
        <f>"江西中医药高等专科学校"</f>
        <v>江西中医药高等专科学校</v>
      </c>
      <c r="I187" s="6" t="str">
        <f t="shared" si="86"/>
        <v>护士资格证</v>
      </c>
    </row>
    <row r="188" spans="1:9" s="1" customFormat="1" ht="30" customHeight="1">
      <c r="A188" s="6">
        <v>186</v>
      </c>
      <c r="B188" s="6" t="s">
        <v>10</v>
      </c>
      <c r="C188" s="6" t="str">
        <f>"薛丽青"</f>
        <v>薛丽青</v>
      </c>
      <c r="D188" s="6" t="str">
        <f t="shared" si="79"/>
        <v>女</v>
      </c>
      <c r="E188" s="6" t="str">
        <f>"2000-05-17"</f>
        <v>2000-05-17</v>
      </c>
      <c r="F188" s="6" t="str">
        <f aca="true" t="shared" si="87" ref="F188:F195">"大专"</f>
        <v>大专</v>
      </c>
      <c r="G188" s="6" t="str">
        <f t="shared" si="84"/>
        <v>护理</v>
      </c>
      <c r="H188" s="6" t="str">
        <f>"海南医学院"</f>
        <v>海南医学院</v>
      </c>
      <c r="I188" s="6" t="str">
        <f t="shared" si="86"/>
        <v>护士资格证</v>
      </c>
    </row>
    <row r="189" spans="1:9" s="1" customFormat="1" ht="30" customHeight="1">
      <c r="A189" s="6">
        <v>187</v>
      </c>
      <c r="B189" s="6" t="s">
        <v>10</v>
      </c>
      <c r="C189" s="6" t="str">
        <f>"黄念"</f>
        <v>黄念</v>
      </c>
      <c r="D189" s="6" t="str">
        <f t="shared" si="79"/>
        <v>女</v>
      </c>
      <c r="E189" s="6" t="str">
        <f>"1992-10-02"</f>
        <v>1992-10-02</v>
      </c>
      <c r="F189" s="6" t="str">
        <f t="shared" si="87"/>
        <v>大专</v>
      </c>
      <c r="G189" s="6" t="str">
        <f t="shared" si="84"/>
        <v>护理</v>
      </c>
      <c r="H189" s="6" t="str">
        <f>"邢台医学高等专科学校"</f>
        <v>邢台医学高等专科学校</v>
      </c>
      <c r="I189" s="6" t="str">
        <f t="shared" si="86"/>
        <v>护士资格证</v>
      </c>
    </row>
    <row r="190" spans="1:9" s="1" customFormat="1" ht="30" customHeight="1">
      <c r="A190" s="6">
        <v>188</v>
      </c>
      <c r="B190" s="6" t="s">
        <v>10</v>
      </c>
      <c r="C190" s="6" t="str">
        <f>"符耀鹏"</f>
        <v>符耀鹏</v>
      </c>
      <c r="D190" s="6" t="str">
        <f>"男"</f>
        <v>男</v>
      </c>
      <c r="E190" s="6" t="str">
        <f>"1998-12-06"</f>
        <v>1998-12-06</v>
      </c>
      <c r="F190" s="6" t="str">
        <f t="shared" si="87"/>
        <v>大专</v>
      </c>
      <c r="G190" s="6" t="str">
        <f t="shared" si="84"/>
        <v>护理</v>
      </c>
      <c r="H190" s="6" t="str">
        <f>"江西中医药高等专科学校"</f>
        <v>江西中医药高等专科学校</v>
      </c>
      <c r="I190" s="6" t="str">
        <f t="shared" si="86"/>
        <v>护士资格证</v>
      </c>
    </row>
    <row r="191" spans="1:9" s="1" customFormat="1" ht="30" customHeight="1">
      <c r="A191" s="6">
        <v>189</v>
      </c>
      <c r="B191" s="6" t="s">
        <v>10</v>
      </c>
      <c r="C191" s="6" t="str">
        <f>"范永绮"</f>
        <v>范永绮</v>
      </c>
      <c r="D191" s="6" t="str">
        <f aca="true" t="shared" si="88" ref="D191:D195">"女"</f>
        <v>女</v>
      </c>
      <c r="E191" s="6" t="str">
        <f>"2000-01-05"</f>
        <v>2000-01-05</v>
      </c>
      <c r="F191" s="6" t="str">
        <f t="shared" si="87"/>
        <v>大专</v>
      </c>
      <c r="G191" s="6" t="str">
        <f t="shared" si="84"/>
        <v>护理</v>
      </c>
      <c r="H191" s="6" t="str">
        <f>"中国医科大学"</f>
        <v>中国医科大学</v>
      </c>
      <c r="I191" s="6" t="str">
        <f t="shared" si="86"/>
        <v>护士资格证</v>
      </c>
    </row>
    <row r="192" spans="1:9" s="1" customFormat="1" ht="30" customHeight="1">
      <c r="A192" s="6">
        <v>190</v>
      </c>
      <c r="B192" s="6" t="s">
        <v>10</v>
      </c>
      <c r="C192" s="6" t="str">
        <f>"陈带柳"</f>
        <v>陈带柳</v>
      </c>
      <c r="D192" s="6" t="str">
        <f t="shared" si="88"/>
        <v>女</v>
      </c>
      <c r="E192" s="6" t="str">
        <f>"1996-12-04"</f>
        <v>1996-12-04</v>
      </c>
      <c r="F192" s="6" t="str">
        <f t="shared" si="87"/>
        <v>大专</v>
      </c>
      <c r="G192" s="6" t="s">
        <v>11</v>
      </c>
      <c r="H192" s="6" t="str">
        <f>"海南科技职业大学"</f>
        <v>海南科技职业大学</v>
      </c>
      <c r="I192" s="6" t="str">
        <f t="shared" si="86"/>
        <v>护士资格证</v>
      </c>
    </row>
    <row r="193" spans="1:9" s="1" customFormat="1" ht="30" customHeight="1">
      <c r="A193" s="6">
        <v>191</v>
      </c>
      <c r="B193" s="6" t="s">
        <v>10</v>
      </c>
      <c r="C193" s="6" t="str">
        <f>"万吉妹"</f>
        <v>万吉妹</v>
      </c>
      <c r="D193" s="6" t="str">
        <f t="shared" si="88"/>
        <v>女</v>
      </c>
      <c r="E193" s="6" t="str">
        <f>"1999-04-12"</f>
        <v>1999-04-12</v>
      </c>
      <c r="F193" s="6" t="str">
        <f t="shared" si="87"/>
        <v>大专</v>
      </c>
      <c r="G193" s="6" t="s">
        <v>11</v>
      </c>
      <c r="H193" s="6" t="str">
        <f>"荆州职业技术学院"</f>
        <v>荆州职业技术学院</v>
      </c>
      <c r="I193" s="6" t="str">
        <f t="shared" si="86"/>
        <v>护士资格证</v>
      </c>
    </row>
    <row r="194" spans="1:9" s="1" customFormat="1" ht="30" customHeight="1">
      <c r="A194" s="6">
        <v>192</v>
      </c>
      <c r="B194" s="6" t="s">
        <v>10</v>
      </c>
      <c r="C194" s="6" t="str">
        <f>"容倩桂"</f>
        <v>容倩桂</v>
      </c>
      <c r="D194" s="6" t="str">
        <f t="shared" si="88"/>
        <v>女</v>
      </c>
      <c r="E194" s="6" t="str">
        <f>"1998-03-05"</f>
        <v>1998-03-05</v>
      </c>
      <c r="F194" s="6" t="str">
        <f t="shared" si="87"/>
        <v>大专</v>
      </c>
      <c r="G194" s="6" t="str">
        <f>"护理学"</f>
        <v>护理学</v>
      </c>
      <c r="H194" s="6" t="str">
        <f>"三亚理工职业学院"</f>
        <v>三亚理工职业学院</v>
      </c>
      <c r="I194" s="6" t="str">
        <f t="shared" si="86"/>
        <v>护士资格证</v>
      </c>
    </row>
    <row r="195" spans="1:9" s="1" customFormat="1" ht="30" customHeight="1">
      <c r="A195" s="6">
        <v>193</v>
      </c>
      <c r="B195" s="6" t="s">
        <v>10</v>
      </c>
      <c r="C195" s="6" t="str">
        <f>"符日姣"</f>
        <v>符日姣</v>
      </c>
      <c r="D195" s="6" t="str">
        <f t="shared" si="88"/>
        <v>女</v>
      </c>
      <c r="E195" s="6" t="str">
        <f>"1996-04-13"</f>
        <v>1996-04-13</v>
      </c>
      <c r="F195" s="6" t="str">
        <f t="shared" si="87"/>
        <v>大专</v>
      </c>
      <c r="G195" s="6" t="str">
        <f>"护理"</f>
        <v>护理</v>
      </c>
      <c r="H195" s="6" t="str">
        <f>"海南医学院"</f>
        <v>海南医学院</v>
      </c>
      <c r="I195" s="6" t="str">
        <f t="shared" si="86"/>
        <v>护士资格证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2022-10-14T09:36:23Z</dcterms:created>
  <dcterms:modified xsi:type="dcterms:W3CDTF">2022-10-17T12:01:27Z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EF74F470E2E34CEA837466CEDEA8B4D3</vt:lpwstr>
  </property>
  <property fmtid="{D5CDD505-2E9C-101B-9397-08002B2CF9AE}" pid="4" name="KSOProductBuildV">
    <vt:lpwstr>2052-10.8.0.5603</vt:lpwstr>
  </property>
</Properties>
</file>