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4085" activeTab="0"/>
  </bookViews>
  <sheets>
    <sheet name="（合格）保亭黎族苗族自治县医疗集团2022年公开招聘事业编制人" sheetId="1" r:id="rId1"/>
  </sheets>
  <definedNames>
    <definedName name="_xlnm.Print_Area" localSheetId="0">'（合格）保亭黎族苗族自治县医疗集团2022年公开招聘事业编制人'!$A$1:$I$349</definedName>
    <definedName name="_xlnm.Print_Titles" localSheetId="0">'（合格）保亭黎族苗族自治县医疗集团2022年公开招聘事业编制人'!$1:$2</definedName>
    <definedName name="_xlnm._FilterDatabase" localSheetId="0" hidden="1">'（合格）保亭黎族苗族自治县医疗集团2022年公开招聘事业编制人'!$A$2:$I$349</definedName>
  </definedNames>
  <calcPr fullCalcOnLoad="1"/>
</workbook>
</file>

<file path=xl/sharedStrings.xml><?xml version="1.0" encoding="utf-8"?>
<sst xmlns="http://schemas.openxmlformats.org/spreadsheetml/2006/main" count="1309" uniqueCount="76">
  <si>
    <t>保亭黎族苗族自治县医疗集团2022年公开招聘事业编制人员（第一批）资格初审合格人员名单</t>
  </si>
  <si>
    <t>序号</t>
  </si>
  <si>
    <t>招聘岗位</t>
  </si>
  <si>
    <t>报考岗位</t>
  </si>
  <si>
    <t>姓名</t>
  </si>
  <si>
    <t>性别</t>
  </si>
  <si>
    <t>出生年月</t>
  </si>
  <si>
    <t>学历</t>
  </si>
  <si>
    <t>专业</t>
  </si>
  <si>
    <t>职称</t>
  </si>
  <si>
    <t>加茂分院</t>
  </si>
  <si>
    <t>0101_中医学科带头人</t>
  </si>
  <si>
    <t>本科</t>
  </si>
  <si>
    <t xml:space="preserve">中医学       </t>
  </si>
  <si>
    <t>主治医师</t>
  </si>
  <si>
    <t>0102_临床医师</t>
  </si>
  <si>
    <t>临床医学</t>
  </si>
  <si>
    <t>助理医师</t>
  </si>
  <si>
    <t>0103_助理医师</t>
  </si>
  <si>
    <t>0105_放射技士</t>
  </si>
  <si>
    <t>医学影像学</t>
  </si>
  <si>
    <t>放射医学技术初级（士）</t>
  </si>
  <si>
    <t>0106_药士</t>
  </si>
  <si>
    <t>药学初级（士）</t>
  </si>
  <si>
    <t>药学初级（师）</t>
  </si>
  <si>
    <t>药学</t>
  </si>
  <si>
    <t>0107_护士</t>
  </si>
  <si>
    <t>大专</t>
  </si>
  <si>
    <t>护理</t>
  </si>
  <si>
    <t>护理学初级(师)</t>
  </si>
  <si>
    <t>护理学初级(士)</t>
  </si>
  <si>
    <t>护理学</t>
  </si>
  <si>
    <t>助产</t>
  </si>
  <si>
    <t>护理学（中级）</t>
  </si>
  <si>
    <t>城北社区卫生服务站</t>
  </si>
  <si>
    <t>0403_临床医师</t>
  </si>
  <si>
    <t>执业医师</t>
  </si>
  <si>
    <t>保城分院</t>
  </si>
  <si>
    <t>0501_中医医师</t>
  </si>
  <si>
    <t>中西医临床医学</t>
  </si>
  <si>
    <t>0502_康复医师</t>
  </si>
  <si>
    <t>康复医学治疗技术初级（师）</t>
  </si>
  <si>
    <t xml:space="preserve">  康复治疗学</t>
  </si>
  <si>
    <t>康复医学治疗技术初级（士）</t>
  </si>
  <si>
    <t>0503_药士</t>
  </si>
  <si>
    <t>0505_护士</t>
  </si>
  <si>
    <t>护理学(中级)</t>
  </si>
  <si>
    <t>黄肖少</t>
  </si>
  <si>
    <t>女</t>
  </si>
  <si>
    <t>三道分院</t>
  </si>
  <si>
    <t>0602_助理医师</t>
  </si>
  <si>
    <t>0603_护士</t>
  </si>
  <si>
    <t>护理专业</t>
  </si>
  <si>
    <t>0605_药士</t>
  </si>
  <si>
    <t>响水分院</t>
  </si>
  <si>
    <t>0701_检验员</t>
  </si>
  <si>
    <t>临床医学检验技术初级（师）</t>
  </si>
  <si>
    <t>临床医学检验技术初级（士）</t>
  </si>
  <si>
    <t>医学检验</t>
  </si>
  <si>
    <t>赵河景</t>
  </si>
  <si>
    <t>男</t>
  </si>
  <si>
    <t>医学检验技术</t>
  </si>
  <si>
    <t>0702_药士</t>
  </si>
  <si>
    <t>0703_护士</t>
  </si>
  <si>
    <t>六弓分院</t>
  </si>
  <si>
    <t>0801_护士</t>
  </si>
  <si>
    <t>杨姣颖</t>
  </si>
  <si>
    <t>内科护理（中级）</t>
  </si>
  <si>
    <t>保亭县人民医院</t>
  </si>
  <si>
    <t>0902_超声诊断医师</t>
  </si>
  <si>
    <t xml:space="preserve">  医学影像学</t>
  </si>
  <si>
    <t>放射医学技术初级（师）</t>
  </si>
  <si>
    <t>0903_临床医师</t>
  </si>
  <si>
    <t>儿科学主治医师</t>
  </si>
  <si>
    <t>研究生</t>
  </si>
  <si>
    <t>妇产科主治医师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</si>
</sst>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9"/>
  <sheetViews>
    <sheetView tabSelected="1" workbookViewId="0" topLeftCell="A345">
      <selection activeCell="F32" sqref="F32"/>
    </sheetView>
  </sheetViews>
  <sheetFormatPr defaultColWidth="9.00390625" defaultRowHeight="15"/>
  <cols>
    <col min="1" max="1" width="5.140625" style="4" customWidth="1"/>
    <col min="2" max="2" width="11.7109375" style="5" customWidth="1"/>
    <col min="3" max="3" width="17.57421875" style="6" customWidth="1"/>
    <col min="4" max="4" width="9.00390625" style="6" customWidth="1"/>
    <col min="5" max="5" width="5.140625" style="6" customWidth="1"/>
    <col min="6" max="6" width="11.421875" style="6" customWidth="1"/>
    <col min="7" max="7" width="6.00390625" style="6" customWidth="1"/>
    <col min="8" max="8" width="10.421875" style="6" customWidth="1"/>
    <col min="9" max="9" width="15.28125" style="7" customWidth="1"/>
    <col min="10" max="10" width="17.7109375" style="0" customWidth="1"/>
  </cols>
  <sheetData>
    <row r="1" spans="1:9" s="1" customFormat="1" ht="51" customHeight="1">
      <c r="A1" s="8" t="s">
        <v>0</v>
      </c>
      <c r="B1" s="8"/>
      <c r="C1" s="9"/>
      <c r="D1" s="9"/>
      <c r="E1" s="9"/>
      <c r="F1" s="9"/>
      <c r="G1" s="9"/>
      <c r="H1" s="9"/>
      <c r="I1" s="9"/>
    </row>
    <row r="2" spans="1:9" s="2" customFormat="1" ht="30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s="3" customFormat="1" ht="48.75" customHeight="1">
      <c r="A3" s="13">
        <v>1</v>
      </c>
      <c r="B3" s="12" t="s">
        <v>10</v>
      </c>
      <c r="C3" s="14" t="s">
        <v>11</v>
      </c>
      <c r="D3" s="14" t="str">
        <f>"刘荣锋"</f>
        <v>刘荣锋</v>
      </c>
      <c r="E3" s="14" t="str">
        <f aca="true" t="shared" si="0" ref="E3:E11">"男"</f>
        <v>男</v>
      </c>
      <c r="F3" s="14" t="str">
        <f>"1983-12-13"</f>
        <v>1983-12-13</v>
      </c>
      <c r="G3" s="15" t="s">
        <v>12</v>
      </c>
      <c r="H3" s="15" t="s">
        <v>13</v>
      </c>
      <c r="I3" s="19" t="s">
        <v>14</v>
      </c>
    </row>
    <row r="4" spans="1:9" s="3" customFormat="1" ht="30" customHeight="1">
      <c r="A4" s="13">
        <v>2</v>
      </c>
      <c r="B4" s="16" t="s">
        <v>10</v>
      </c>
      <c r="C4" s="14" t="s">
        <v>15</v>
      </c>
      <c r="D4" s="14" t="str">
        <f>"蔡维佳"</f>
        <v>蔡维佳</v>
      </c>
      <c r="E4" s="14" t="str">
        <f t="shared" si="0"/>
        <v>男</v>
      </c>
      <c r="F4" s="14" t="str">
        <f>"1992-10-05"</f>
        <v>1992-10-05</v>
      </c>
      <c r="G4" s="14" t="str">
        <f aca="true" t="shared" si="1" ref="G3:G34">"大专"</f>
        <v>大专</v>
      </c>
      <c r="H4" s="15" t="s">
        <v>16</v>
      </c>
      <c r="I4" s="19" t="s">
        <v>17</v>
      </c>
    </row>
    <row r="5" spans="1:9" s="3" customFormat="1" ht="30" customHeight="1">
      <c r="A5" s="13">
        <v>3</v>
      </c>
      <c r="B5" s="17"/>
      <c r="C5" s="14" t="s">
        <v>15</v>
      </c>
      <c r="D5" s="14" t="str">
        <f>"董万琪"</f>
        <v>董万琪</v>
      </c>
      <c r="E5" s="14" t="str">
        <f t="shared" si="0"/>
        <v>男</v>
      </c>
      <c r="F5" s="14" t="str">
        <f>"1996-03-27"</f>
        <v>1996-03-27</v>
      </c>
      <c r="G5" s="14" t="str">
        <f t="shared" si="1"/>
        <v>大专</v>
      </c>
      <c r="H5" s="14" t="str">
        <f aca="true" t="shared" si="2" ref="H5:H10">"临床医学"</f>
        <v>临床医学</v>
      </c>
      <c r="I5" s="14" t="str">
        <f>"助理医师"</f>
        <v>助理医师</v>
      </c>
    </row>
    <row r="6" spans="1:9" s="3" customFormat="1" ht="30" customHeight="1">
      <c r="A6" s="13">
        <v>4</v>
      </c>
      <c r="B6" s="17"/>
      <c r="C6" s="14" t="s">
        <v>15</v>
      </c>
      <c r="D6" s="14" t="str">
        <f>"张新萱"</f>
        <v>张新萱</v>
      </c>
      <c r="E6" s="14" t="str">
        <f>"女"</f>
        <v>女</v>
      </c>
      <c r="F6" s="14" t="str">
        <f>"1985-03-15"</f>
        <v>1985-03-15</v>
      </c>
      <c r="G6" s="14" t="s">
        <v>12</v>
      </c>
      <c r="H6" s="14" t="str">
        <f t="shared" si="2"/>
        <v>临床医学</v>
      </c>
      <c r="I6" s="14" t="str">
        <f>"执业医师"</f>
        <v>执业医师</v>
      </c>
    </row>
    <row r="7" spans="1:9" s="3" customFormat="1" ht="30" customHeight="1">
      <c r="A7" s="13">
        <v>5</v>
      </c>
      <c r="B7" s="17"/>
      <c r="C7" s="14" t="s">
        <v>15</v>
      </c>
      <c r="D7" s="14" t="str">
        <f>"胡海霞"</f>
        <v>胡海霞</v>
      </c>
      <c r="E7" s="14" t="str">
        <f>"女"</f>
        <v>女</v>
      </c>
      <c r="F7" s="14" t="str">
        <f>"1993-03-12"</f>
        <v>1993-03-12</v>
      </c>
      <c r="G7" s="14" t="s">
        <v>12</v>
      </c>
      <c r="H7" s="14" t="str">
        <f t="shared" si="2"/>
        <v>临床医学</v>
      </c>
      <c r="I7" s="14" t="s">
        <v>17</v>
      </c>
    </row>
    <row r="8" spans="1:9" s="3" customFormat="1" ht="30" customHeight="1">
      <c r="A8" s="13">
        <v>6</v>
      </c>
      <c r="B8" s="18"/>
      <c r="C8" s="14" t="s">
        <v>15</v>
      </c>
      <c r="D8" s="14" t="str">
        <f>"许广荣"</f>
        <v>许广荣</v>
      </c>
      <c r="E8" s="14" t="str">
        <f t="shared" si="0"/>
        <v>男</v>
      </c>
      <c r="F8" s="14" t="str">
        <f>"1992-11-05"</f>
        <v>1992-11-05</v>
      </c>
      <c r="G8" s="14" t="s">
        <v>12</v>
      </c>
      <c r="H8" s="14" t="str">
        <f t="shared" si="2"/>
        <v>临床医学</v>
      </c>
      <c r="I8" s="19" t="s">
        <v>17</v>
      </c>
    </row>
    <row r="9" spans="1:9" s="3" customFormat="1" ht="30" customHeight="1">
      <c r="A9" s="13">
        <v>7</v>
      </c>
      <c r="B9" s="16" t="s">
        <v>10</v>
      </c>
      <c r="C9" s="14" t="s">
        <v>18</v>
      </c>
      <c r="D9" s="14" t="str">
        <f>"陈文煊"</f>
        <v>陈文煊</v>
      </c>
      <c r="E9" s="14" t="str">
        <f t="shared" si="0"/>
        <v>男</v>
      </c>
      <c r="F9" s="14" t="str">
        <f>"1993-01-18"</f>
        <v>1993-01-18</v>
      </c>
      <c r="G9" s="14" t="s">
        <v>12</v>
      </c>
      <c r="H9" s="14" t="str">
        <f t="shared" si="2"/>
        <v>临床医学</v>
      </c>
      <c r="I9" s="19" t="s">
        <v>17</v>
      </c>
    </row>
    <row r="10" spans="1:9" s="3" customFormat="1" ht="30" customHeight="1">
      <c r="A10" s="13">
        <v>8</v>
      </c>
      <c r="B10" s="17"/>
      <c r="C10" s="14" t="s">
        <v>18</v>
      </c>
      <c r="D10" s="14" t="str">
        <f>"邢慧全"</f>
        <v>邢慧全</v>
      </c>
      <c r="E10" s="14" t="str">
        <f t="shared" si="0"/>
        <v>男</v>
      </c>
      <c r="F10" s="14" t="str">
        <f>"1999-07-24"</f>
        <v>1999-07-24</v>
      </c>
      <c r="G10" s="14" t="str">
        <f t="shared" si="1"/>
        <v>大专</v>
      </c>
      <c r="H10" s="14" t="str">
        <f t="shared" si="2"/>
        <v>临床医学</v>
      </c>
      <c r="I10" s="19" t="s">
        <v>17</v>
      </c>
    </row>
    <row r="11" spans="1:9" s="3" customFormat="1" ht="30" customHeight="1">
      <c r="A11" s="13">
        <v>9</v>
      </c>
      <c r="B11" s="16" t="s">
        <v>10</v>
      </c>
      <c r="C11" s="14" t="s">
        <v>19</v>
      </c>
      <c r="D11" s="14" t="str">
        <f>"陈博堂"</f>
        <v>陈博堂</v>
      </c>
      <c r="E11" s="14" t="str">
        <f t="shared" si="0"/>
        <v>男</v>
      </c>
      <c r="F11" s="14" t="str">
        <f>"1988-12-07"</f>
        <v>1988-12-07</v>
      </c>
      <c r="G11" s="15" t="s">
        <v>12</v>
      </c>
      <c r="H11" s="15" t="s">
        <v>20</v>
      </c>
      <c r="I11" s="19" t="s">
        <v>21</v>
      </c>
    </row>
    <row r="12" spans="1:9" s="3" customFormat="1" ht="30" customHeight="1">
      <c r="A12" s="13">
        <v>10</v>
      </c>
      <c r="B12" s="17"/>
      <c r="C12" s="14" t="s">
        <v>19</v>
      </c>
      <c r="D12" s="14" t="str">
        <f>"符丹丹"</f>
        <v>符丹丹</v>
      </c>
      <c r="E12" s="14" t="str">
        <f aca="true" t="shared" si="3" ref="E12:E15">"女"</f>
        <v>女</v>
      </c>
      <c r="F12" s="14" t="str">
        <f>"1995-04-08"</f>
        <v>1995-04-08</v>
      </c>
      <c r="G12" s="14" t="str">
        <f t="shared" si="1"/>
        <v>大专</v>
      </c>
      <c r="H12" s="14" t="str">
        <f aca="true" t="shared" si="4" ref="H12:H15">"医学影像技术"</f>
        <v>医学影像技术</v>
      </c>
      <c r="I12" s="14" t="str">
        <f>"放射医学技术初级（士）"</f>
        <v>放射医学技术初级（士）</v>
      </c>
    </row>
    <row r="13" spans="1:9" s="3" customFormat="1" ht="30" customHeight="1">
      <c r="A13" s="13">
        <v>11</v>
      </c>
      <c r="B13" s="17"/>
      <c r="C13" s="14" t="s">
        <v>19</v>
      </c>
      <c r="D13" s="14" t="str">
        <f>"黄蓉"</f>
        <v>黄蓉</v>
      </c>
      <c r="E13" s="14" t="str">
        <f t="shared" si="3"/>
        <v>女</v>
      </c>
      <c r="F13" s="14" t="str">
        <f>"1988-08-10"</f>
        <v>1988-08-10</v>
      </c>
      <c r="G13" s="15" t="s">
        <v>12</v>
      </c>
      <c r="H13" s="15" t="s">
        <v>20</v>
      </c>
      <c r="I13" s="19" t="s">
        <v>21</v>
      </c>
    </row>
    <row r="14" spans="1:9" s="3" customFormat="1" ht="30" customHeight="1">
      <c r="A14" s="13">
        <v>12</v>
      </c>
      <c r="B14" s="17"/>
      <c r="C14" s="14" t="s">
        <v>19</v>
      </c>
      <c r="D14" s="14" t="str">
        <f>"蓝天明"</f>
        <v>蓝天明</v>
      </c>
      <c r="E14" s="14" t="str">
        <f aca="true" t="shared" si="5" ref="E14:E17">"男"</f>
        <v>男</v>
      </c>
      <c r="F14" s="14" t="str">
        <f>"1996-02-13"</f>
        <v>1996-02-13</v>
      </c>
      <c r="G14" s="14" t="str">
        <f t="shared" si="1"/>
        <v>大专</v>
      </c>
      <c r="H14" s="14" t="str">
        <f t="shared" si="4"/>
        <v>医学影像技术</v>
      </c>
      <c r="I14" s="14" t="str">
        <f>"放射医学技师初级（师）"</f>
        <v>放射医学技师初级（师）</v>
      </c>
    </row>
    <row r="15" spans="1:9" s="3" customFormat="1" ht="30" customHeight="1">
      <c r="A15" s="13">
        <v>13</v>
      </c>
      <c r="B15" s="18"/>
      <c r="C15" s="14" t="s">
        <v>19</v>
      </c>
      <c r="D15" s="14" t="str">
        <f>"符锡才"</f>
        <v>符锡才</v>
      </c>
      <c r="E15" s="14" t="str">
        <f t="shared" si="3"/>
        <v>女</v>
      </c>
      <c r="F15" s="14" t="str">
        <f>"1998-10-10"</f>
        <v>1998-10-10</v>
      </c>
      <c r="G15" s="14" t="str">
        <f t="shared" si="1"/>
        <v>大专</v>
      </c>
      <c r="H15" s="14" t="str">
        <f t="shared" si="4"/>
        <v>医学影像技术</v>
      </c>
      <c r="I15" s="14" t="str">
        <f>"放射医学技术初级（士）"</f>
        <v>放射医学技术初级（士）</v>
      </c>
    </row>
    <row r="16" spans="1:9" s="3" customFormat="1" ht="30" customHeight="1">
      <c r="A16" s="13">
        <v>14</v>
      </c>
      <c r="B16" s="16" t="s">
        <v>10</v>
      </c>
      <c r="C16" s="14" t="s">
        <v>22</v>
      </c>
      <c r="D16" s="14" t="str">
        <f>"吉卡"</f>
        <v>吉卡</v>
      </c>
      <c r="E16" s="14" t="str">
        <f t="shared" si="5"/>
        <v>男</v>
      </c>
      <c r="F16" s="14" t="str">
        <f>"1999-11-18"</f>
        <v>1999-11-18</v>
      </c>
      <c r="G16" s="14" t="str">
        <f t="shared" si="1"/>
        <v>大专</v>
      </c>
      <c r="H16" s="14" t="str">
        <f aca="true" t="shared" si="6" ref="H16:H21">"药学"</f>
        <v>药学</v>
      </c>
      <c r="I16" s="14" t="s">
        <v>23</v>
      </c>
    </row>
    <row r="17" spans="1:9" s="3" customFormat="1" ht="30" customHeight="1">
      <c r="A17" s="13">
        <v>15</v>
      </c>
      <c r="B17" s="17"/>
      <c r="C17" s="14" t="s">
        <v>22</v>
      </c>
      <c r="D17" s="14" t="str">
        <f>"梁禄饶"</f>
        <v>梁禄饶</v>
      </c>
      <c r="E17" s="14" t="str">
        <f t="shared" si="5"/>
        <v>男</v>
      </c>
      <c r="F17" s="14" t="str">
        <f>"1988-05-24"</f>
        <v>1988-05-24</v>
      </c>
      <c r="G17" s="14" t="s">
        <v>12</v>
      </c>
      <c r="H17" s="14" t="str">
        <f t="shared" si="6"/>
        <v>药学</v>
      </c>
      <c r="I17" s="14" t="s">
        <v>24</v>
      </c>
    </row>
    <row r="18" spans="1:9" s="3" customFormat="1" ht="30" customHeight="1">
      <c r="A18" s="13">
        <v>16</v>
      </c>
      <c r="B18" s="17"/>
      <c r="C18" s="14" t="s">
        <v>22</v>
      </c>
      <c r="D18" s="14" t="str">
        <f>"沈芝彩"</f>
        <v>沈芝彩</v>
      </c>
      <c r="E18" s="14" t="str">
        <f aca="true" t="shared" si="7" ref="E18:E23">"女"</f>
        <v>女</v>
      </c>
      <c r="F18" s="14" t="str">
        <f>"1989-04-07"</f>
        <v>1989-04-07</v>
      </c>
      <c r="G18" s="14" t="str">
        <f t="shared" si="1"/>
        <v>大专</v>
      </c>
      <c r="H18" s="14" t="str">
        <f t="shared" si="6"/>
        <v>药学</v>
      </c>
      <c r="I18" s="14" t="s">
        <v>23</v>
      </c>
    </row>
    <row r="19" spans="1:9" s="3" customFormat="1" ht="30" customHeight="1">
      <c r="A19" s="13">
        <v>17</v>
      </c>
      <c r="B19" s="17"/>
      <c r="C19" s="14" t="s">
        <v>22</v>
      </c>
      <c r="D19" s="14" t="str">
        <f>"梁启帆"</f>
        <v>梁启帆</v>
      </c>
      <c r="E19" s="14" t="str">
        <f t="shared" si="7"/>
        <v>女</v>
      </c>
      <c r="F19" s="14" t="str">
        <f>"1989-12-05"</f>
        <v>1989-12-05</v>
      </c>
      <c r="G19" s="14" t="str">
        <f t="shared" si="1"/>
        <v>大专</v>
      </c>
      <c r="H19" s="14" t="str">
        <f t="shared" si="6"/>
        <v>药学</v>
      </c>
      <c r="I19" s="14" t="s">
        <v>23</v>
      </c>
    </row>
    <row r="20" spans="1:9" s="3" customFormat="1" ht="30" customHeight="1">
      <c r="A20" s="13">
        <v>18</v>
      </c>
      <c r="B20" s="17"/>
      <c r="C20" s="14" t="s">
        <v>22</v>
      </c>
      <c r="D20" s="14" t="str">
        <f>"郑丽妙"</f>
        <v>郑丽妙</v>
      </c>
      <c r="E20" s="14" t="str">
        <f t="shared" si="7"/>
        <v>女</v>
      </c>
      <c r="F20" s="14" t="str">
        <f>"1992-06-07"</f>
        <v>1992-06-07</v>
      </c>
      <c r="G20" s="14" t="str">
        <f t="shared" si="1"/>
        <v>大专</v>
      </c>
      <c r="H20" s="14" t="str">
        <f t="shared" si="6"/>
        <v>药学</v>
      </c>
      <c r="I20" s="14" t="s">
        <v>24</v>
      </c>
    </row>
    <row r="21" spans="1:9" s="3" customFormat="1" ht="30" customHeight="1">
      <c r="A21" s="13">
        <v>19</v>
      </c>
      <c r="B21" s="17"/>
      <c r="C21" s="14" t="s">
        <v>22</v>
      </c>
      <c r="D21" s="14" t="str">
        <f>"吴萍"</f>
        <v>吴萍</v>
      </c>
      <c r="E21" s="14" t="str">
        <f t="shared" si="7"/>
        <v>女</v>
      </c>
      <c r="F21" s="14" t="str">
        <f>"1990-12-18"</f>
        <v>1990-12-18</v>
      </c>
      <c r="G21" s="14" t="s">
        <v>12</v>
      </c>
      <c r="H21" s="14" t="str">
        <f t="shared" si="6"/>
        <v>药学</v>
      </c>
      <c r="I21" s="14" t="s">
        <v>24</v>
      </c>
    </row>
    <row r="22" spans="1:9" s="3" customFormat="1" ht="30" customHeight="1">
      <c r="A22" s="13">
        <v>20</v>
      </c>
      <c r="B22" s="17"/>
      <c r="C22" s="14" t="s">
        <v>22</v>
      </c>
      <c r="D22" s="14" t="str">
        <f>"孙丽萍"</f>
        <v>孙丽萍</v>
      </c>
      <c r="E22" s="14" t="str">
        <f t="shared" si="7"/>
        <v>女</v>
      </c>
      <c r="F22" s="14" t="str">
        <f>"1988-12-20"</f>
        <v>1988-12-20</v>
      </c>
      <c r="G22" s="14" t="s">
        <v>12</v>
      </c>
      <c r="H22" s="14" t="s">
        <v>25</v>
      </c>
      <c r="I22" s="14" t="s">
        <v>24</v>
      </c>
    </row>
    <row r="23" spans="1:9" s="3" customFormat="1" ht="30" customHeight="1">
      <c r="A23" s="13">
        <v>21</v>
      </c>
      <c r="B23" s="17"/>
      <c r="C23" s="14" t="s">
        <v>22</v>
      </c>
      <c r="D23" s="14" t="str">
        <f>"陈焕窕"</f>
        <v>陈焕窕</v>
      </c>
      <c r="E23" s="14" t="str">
        <f t="shared" si="7"/>
        <v>女</v>
      </c>
      <c r="F23" s="14" t="str">
        <f>"1997-03-01"</f>
        <v>1997-03-01</v>
      </c>
      <c r="G23" s="14" t="str">
        <f t="shared" si="1"/>
        <v>大专</v>
      </c>
      <c r="H23" s="14" t="str">
        <f aca="true" t="shared" si="8" ref="H23:H41">"药学"</f>
        <v>药学</v>
      </c>
      <c r="I23" s="14" t="s">
        <v>23</v>
      </c>
    </row>
    <row r="24" spans="1:9" s="3" customFormat="1" ht="30" customHeight="1">
      <c r="A24" s="13">
        <v>22</v>
      </c>
      <c r="B24" s="17"/>
      <c r="C24" s="14" t="s">
        <v>22</v>
      </c>
      <c r="D24" s="14" t="str">
        <f>"赵冠科"</f>
        <v>赵冠科</v>
      </c>
      <c r="E24" s="14" t="str">
        <f>"男"</f>
        <v>男</v>
      </c>
      <c r="F24" s="14" t="str">
        <f>"1992-08-17"</f>
        <v>1992-08-17</v>
      </c>
      <c r="G24" s="14" t="s">
        <v>12</v>
      </c>
      <c r="H24" s="14" t="str">
        <f t="shared" si="8"/>
        <v>药学</v>
      </c>
      <c r="I24" s="14" t="s">
        <v>23</v>
      </c>
    </row>
    <row r="25" spans="1:9" s="3" customFormat="1" ht="30" customHeight="1">
      <c r="A25" s="13">
        <v>23</v>
      </c>
      <c r="B25" s="17"/>
      <c r="C25" s="14" t="s">
        <v>22</v>
      </c>
      <c r="D25" s="14" t="str">
        <f>"陈国泰"</f>
        <v>陈国泰</v>
      </c>
      <c r="E25" s="14" t="str">
        <f>"男"</f>
        <v>男</v>
      </c>
      <c r="F25" s="14" t="str">
        <f>"1989-07-05"</f>
        <v>1989-07-05</v>
      </c>
      <c r="G25" s="14" t="s">
        <v>12</v>
      </c>
      <c r="H25" s="14" t="str">
        <f t="shared" si="8"/>
        <v>药学</v>
      </c>
      <c r="I25" s="14" t="s">
        <v>23</v>
      </c>
    </row>
    <row r="26" spans="1:9" s="3" customFormat="1" ht="30" customHeight="1">
      <c r="A26" s="13">
        <v>24</v>
      </c>
      <c r="B26" s="17"/>
      <c r="C26" s="14" t="s">
        <v>22</v>
      </c>
      <c r="D26" s="14" t="str">
        <f>"王盈慧"</f>
        <v>王盈慧</v>
      </c>
      <c r="E26" s="14" t="str">
        <f aca="true" t="shared" si="9" ref="E26:E29">"女"</f>
        <v>女</v>
      </c>
      <c r="F26" s="14" t="str">
        <f>"1994-09-15"</f>
        <v>1994-09-15</v>
      </c>
      <c r="G26" s="14" t="str">
        <f t="shared" si="1"/>
        <v>大专</v>
      </c>
      <c r="H26" s="14" t="str">
        <f t="shared" si="8"/>
        <v>药学</v>
      </c>
      <c r="I26" s="14" t="s">
        <v>23</v>
      </c>
    </row>
    <row r="27" spans="1:9" s="3" customFormat="1" ht="30" customHeight="1">
      <c r="A27" s="13">
        <v>25</v>
      </c>
      <c r="B27" s="17"/>
      <c r="C27" s="14" t="s">
        <v>22</v>
      </c>
      <c r="D27" s="14" t="str">
        <f>"王贤凉"</f>
        <v>王贤凉</v>
      </c>
      <c r="E27" s="14" t="str">
        <f t="shared" si="9"/>
        <v>女</v>
      </c>
      <c r="F27" s="14" t="str">
        <f>"1990-09-02"</f>
        <v>1990-09-02</v>
      </c>
      <c r="G27" s="14" t="str">
        <f t="shared" si="1"/>
        <v>大专</v>
      </c>
      <c r="H27" s="14" t="str">
        <f t="shared" si="8"/>
        <v>药学</v>
      </c>
      <c r="I27" s="14" t="s">
        <v>23</v>
      </c>
    </row>
    <row r="28" spans="1:9" s="3" customFormat="1" ht="30" customHeight="1">
      <c r="A28" s="13">
        <v>26</v>
      </c>
      <c r="B28" s="17"/>
      <c r="C28" s="14" t="s">
        <v>22</v>
      </c>
      <c r="D28" s="14" t="str">
        <f>"王裕宇"</f>
        <v>王裕宇</v>
      </c>
      <c r="E28" s="14" t="str">
        <f t="shared" si="9"/>
        <v>女</v>
      </c>
      <c r="F28" s="14" t="str">
        <f>"1988-10-07"</f>
        <v>1988-10-07</v>
      </c>
      <c r="G28" s="14" t="str">
        <f t="shared" si="1"/>
        <v>大专</v>
      </c>
      <c r="H28" s="14" t="str">
        <f t="shared" si="8"/>
        <v>药学</v>
      </c>
      <c r="I28" s="14" t="s">
        <v>24</v>
      </c>
    </row>
    <row r="29" spans="1:9" s="3" customFormat="1" ht="30" customHeight="1">
      <c r="A29" s="13">
        <v>27</v>
      </c>
      <c r="B29" s="17"/>
      <c r="C29" s="14" t="s">
        <v>22</v>
      </c>
      <c r="D29" s="14" t="str">
        <f>"卓钰芸"</f>
        <v>卓钰芸</v>
      </c>
      <c r="E29" s="14" t="str">
        <f t="shared" si="9"/>
        <v>女</v>
      </c>
      <c r="F29" s="14" t="str">
        <f>"1991-07-01"</f>
        <v>1991-07-01</v>
      </c>
      <c r="G29" s="14" t="str">
        <f t="shared" si="1"/>
        <v>大专</v>
      </c>
      <c r="H29" s="14" t="str">
        <f t="shared" si="8"/>
        <v>药学</v>
      </c>
      <c r="I29" s="14" t="s">
        <v>23</v>
      </c>
    </row>
    <row r="30" spans="1:9" s="3" customFormat="1" ht="30" customHeight="1">
      <c r="A30" s="13">
        <v>28</v>
      </c>
      <c r="B30" s="17"/>
      <c r="C30" s="14" t="s">
        <v>22</v>
      </c>
      <c r="D30" s="14" t="str">
        <f>"王兴群"</f>
        <v>王兴群</v>
      </c>
      <c r="E30" s="14" t="str">
        <f>"男"</f>
        <v>男</v>
      </c>
      <c r="F30" s="14" t="str">
        <f>"1996-11-11"</f>
        <v>1996-11-11</v>
      </c>
      <c r="G30" s="14" t="str">
        <f t="shared" si="1"/>
        <v>大专</v>
      </c>
      <c r="H30" s="14" t="str">
        <f t="shared" si="8"/>
        <v>药学</v>
      </c>
      <c r="I30" s="14" t="s">
        <v>23</v>
      </c>
    </row>
    <row r="31" spans="1:9" s="3" customFormat="1" ht="30" customHeight="1">
      <c r="A31" s="13">
        <v>29</v>
      </c>
      <c r="B31" s="17"/>
      <c r="C31" s="14" t="s">
        <v>22</v>
      </c>
      <c r="D31" s="14" t="str">
        <f>"陈晶晶"</f>
        <v>陈晶晶</v>
      </c>
      <c r="E31" s="14" t="str">
        <f aca="true" t="shared" si="10" ref="E31:E35">"女"</f>
        <v>女</v>
      </c>
      <c r="F31" s="14" t="str">
        <f>"1995-09-21"</f>
        <v>1995-09-21</v>
      </c>
      <c r="G31" s="14" t="s">
        <v>12</v>
      </c>
      <c r="H31" s="14" t="str">
        <f t="shared" si="8"/>
        <v>药学</v>
      </c>
      <c r="I31" s="14" t="s">
        <v>24</v>
      </c>
    </row>
    <row r="32" spans="1:9" s="3" customFormat="1" ht="30" customHeight="1">
      <c r="A32" s="13">
        <v>30</v>
      </c>
      <c r="B32" s="17"/>
      <c r="C32" s="14" t="s">
        <v>22</v>
      </c>
      <c r="D32" s="14" t="str">
        <f>"梁亚程"</f>
        <v>梁亚程</v>
      </c>
      <c r="E32" s="14" t="str">
        <f t="shared" si="10"/>
        <v>女</v>
      </c>
      <c r="F32" s="14" t="str">
        <f>"1992-01-16"</f>
        <v>1992-01-16</v>
      </c>
      <c r="G32" s="14" t="str">
        <f t="shared" si="1"/>
        <v>大专</v>
      </c>
      <c r="H32" s="14" t="str">
        <f t="shared" si="8"/>
        <v>药学</v>
      </c>
      <c r="I32" s="14" t="s">
        <v>24</v>
      </c>
    </row>
    <row r="33" spans="1:9" s="3" customFormat="1" ht="30" customHeight="1">
      <c r="A33" s="13">
        <v>31</v>
      </c>
      <c r="B33" s="17"/>
      <c r="C33" s="14" t="s">
        <v>22</v>
      </c>
      <c r="D33" s="14" t="str">
        <f>"郑大超"</f>
        <v>郑大超</v>
      </c>
      <c r="E33" s="14" t="str">
        <f aca="true" t="shared" si="11" ref="E33:E37">"男"</f>
        <v>男</v>
      </c>
      <c r="F33" s="14" t="str">
        <f>"1998-09-13"</f>
        <v>1998-09-13</v>
      </c>
      <c r="G33" s="14" t="str">
        <f t="shared" si="1"/>
        <v>大专</v>
      </c>
      <c r="H33" s="14" t="str">
        <f t="shared" si="8"/>
        <v>药学</v>
      </c>
      <c r="I33" s="14" t="s">
        <v>24</v>
      </c>
    </row>
    <row r="34" spans="1:9" s="3" customFormat="1" ht="30" customHeight="1">
      <c r="A34" s="13">
        <v>32</v>
      </c>
      <c r="B34" s="17"/>
      <c r="C34" s="14" t="s">
        <v>22</v>
      </c>
      <c r="D34" s="14" t="str">
        <f>"陈娟"</f>
        <v>陈娟</v>
      </c>
      <c r="E34" s="14" t="str">
        <f t="shared" si="10"/>
        <v>女</v>
      </c>
      <c r="F34" s="14" t="str">
        <f>"1994-11-09"</f>
        <v>1994-11-09</v>
      </c>
      <c r="G34" s="14" t="s">
        <v>12</v>
      </c>
      <c r="H34" s="14" t="str">
        <f t="shared" si="8"/>
        <v>药学</v>
      </c>
      <c r="I34" s="14" t="s">
        <v>23</v>
      </c>
    </row>
    <row r="35" spans="1:9" s="3" customFormat="1" ht="30" customHeight="1">
      <c r="A35" s="13">
        <v>33</v>
      </c>
      <c r="B35" s="17"/>
      <c r="C35" s="14" t="s">
        <v>22</v>
      </c>
      <c r="D35" s="14" t="str">
        <f>"吴二皎"</f>
        <v>吴二皎</v>
      </c>
      <c r="E35" s="14" t="str">
        <f t="shared" si="10"/>
        <v>女</v>
      </c>
      <c r="F35" s="14" t="str">
        <f>"1993-05-06"</f>
        <v>1993-05-06</v>
      </c>
      <c r="G35" s="14" t="str">
        <f aca="true" t="shared" si="12" ref="G35:G38">"本科"</f>
        <v>本科</v>
      </c>
      <c r="H35" s="14" t="str">
        <f t="shared" si="8"/>
        <v>药学</v>
      </c>
      <c r="I35" s="14" t="s">
        <v>23</v>
      </c>
    </row>
    <row r="36" spans="1:9" s="3" customFormat="1" ht="30" customHeight="1">
      <c r="A36" s="13">
        <v>34</v>
      </c>
      <c r="B36" s="17"/>
      <c r="C36" s="14" t="s">
        <v>22</v>
      </c>
      <c r="D36" s="14" t="str">
        <f>"王翔克"</f>
        <v>王翔克</v>
      </c>
      <c r="E36" s="14" t="str">
        <f t="shared" si="11"/>
        <v>男</v>
      </c>
      <c r="F36" s="14" t="str">
        <f>"1991-06-20"</f>
        <v>1991-06-20</v>
      </c>
      <c r="G36" s="14" t="str">
        <f t="shared" si="12"/>
        <v>本科</v>
      </c>
      <c r="H36" s="14" t="str">
        <f t="shared" si="8"/>
        <v>药学</v>
      </c>
      <c r="I36" s="14" t="s">
        <v>24</v>
      </c>
    </row>
    <row r="37" spans="1:9" s="3" customFormat="1" ht="30" customHeight="1">
      <c r="A37" s="13">
        <v>35</v>
      </c>
      <c r="B37" s="17"/>
      <c r="C37" s="14" t="s">
        <v>22</v>
      </c>
      <c r="D37" s="14" t="str">
        <f>"蔡辉敏"</f>
        <v>蔡辉敏</v>
      </c>
      <c r="E37" s="14" t="str">
        <f t="shared" si="11"/>
        <v>男</v>
      </c>
      <c r="F37" s="14" t="str">
        <f>"1996-09-03"</f>
        <v>1996-09-03</v>
      </c>
      <c r="G37" s="14" t="str">
        <f aca="true" t="shared" si="13" ref="G37:G41">"大专"</f>
        <v>大专</v>
      </c>
      <c r="H37" s="14" t="str">
        <f t="shared" si="8"/>
        <v>药学</v>
      </c>
      <c r="I37" s="14" t="s">
        <v>23</v>
      </c>
    </row>
    <row r="38" spans="1:9" s="3" customFormat="1" ht="30" customHeight="1">
      <c r="A38" s="13">
        <v>36</v>
      </c>
      <c r="B38" s="17"/>
      <c r="C38" s="14" t="s">
        <v>22</v>
      </c>
      <c r="D38" s="14" t="str">
        <f>"叶元菊"</f>
        <v>叶元菊</v>
      </c>
      <c r="E38" s="14" t="str">
        <f aca="true" t="shared" si="14" ref="E38:E75">"女"</f>
        <v>女</v>
      </c>
      <c r="F38" s="14" t="str">
        <f>"1989-06-02"</f>
        <v>1989-06-02</v>
      </c>
      <c r="G38" s="14" t="str">
        <f t="shared" si="12"/>
        <v>本科</v>
      </c>
      <c r="H38" s="14" t="str">
        <f t="shared" si="8"/>
        <v>药学</v>
      </c>
      <c r="I38" s="14" t="s">
        <v>24</v>
      </c>
    </row>
    <row r="39" spans="1:9" s="3" customFormat="1" ht="30" customHeight="1">
      <c r="A39" s="13">
        <v>37</v>
      </c>
      <c r="B39" s="17"/>
      <c r="C39" s="14" t="s">
        <v>22</v>
      </c>
      <c r="D39" s="14" t="str">
        <f>"楼顺英"</f>
        <v>楼顺英</v>
      </c>
      <c r="E39" s="14" t="str">
        <f t="shared" si="14"/>
        <v>女</v>
      </c>
      <c r="F39" s="14" t="str">
        <f>"1998-11-15"</f>
        <v>1998-11-15</v>
      </c>
      <c r="G39" s="14" t="str">
        <f t="shared" si="13"/>
        <v>大专</v>
      </c>
      <c r="H39" s="14" t="str">
        <f t="shared" si="8"/>
        <v>药学</v>
      </c>
      <c r="I39" s="14" t="s">
        <v>23</v>
      </c>
    </row>
    <row r="40" spans="1:9" s="3" customFormat="1" ht="30" customHeight="1">
      <c r="A40" s="13">
        <v>38</v>
      </c>
      <c r="B40" s="17"/>
      <c r="C40" s="14" t="s">
        <v>22</v>
      </c>
      <c r="D40" s="14" t="str">
        <f>"李如娜"</f>
        <v>李如娜</v>
      </c>
      <c r="E40" s="14" t="str">
        <f t="shared" si="14"/>
        <v>女</v>
      </c>
      <c r="F40" s="14" t="str">
        <f>"1993-03-20"</f>
        <v>1993-03-20</v>
      </c>
      <c r="G40" s="14" t="str">
        <f t="shared" si="13"/>
        <v>大专</v>
      </c>
      <c r="H40" s="14" t="str">
        <f t="shared" si="8"/>
        <v>药学</v>
      </c>
      <c r="I40" s="14" t="s">
        <v>23</v>
      </c>
    </row>
    <row r="41" spans="1:9" s="3" customFormat="1" ht="30" customHeight="1">
      <c r="A41" s="13">
        <v>39</v>
      </c>
      <c r="B41" s="18"/>
      <c r="C41" s="14" t="s">
        <v>22</v>
      </c>
      <c r="D41" s="14" t="str">
        <f>"钟真彩"</f>
        <v>钟真彩</v>
      </c>
      <c r="E41" s="14" t="str">
        <f t="shared" si="14"/>
        <v>女</v>
      </c>
      <c r="F41" s="14" t="str">
        <f>"1994-03-06"</f>
        <v>1994-03-06</v>
      </c>
      <c r="G41" s="14" t="str">
        <f t="shared" si="13"/>
        <v>大专</v>
      </c>
      <c r="H41" s="14" t="str">
        <f t="shared" si="8"/>
        <v>药学</v>
      </c>
      <c r="I41" s="14" t="s">
        <v>23</v>
      </c>
    </row>
    <row r="42" spans="1:9" s="3" customFormat="1" ht="30" customHeight="1">
      <c r="A42" s="13">
        <v>40</v>
      </c>
      <c r="B42" s="16" t="s">
        <v>10</v>
      </c>
      <c r="C42" s="14" t="s">
        <v>26</v>
      </c>
      <c r="D42" s="14" t="str">
        <f>"梁娟苹"</f>
        <v>梁娟苹</v>
      </c>
      <c r="E42" s="14" t="str">
        <f t="shared" si="14"/>
        <v>女</v>
      </c>
      <c r="F42" s="14" t="str">
        <f>"1996-07-16"</f>
        <v>1996-07-16</v>
      </c>
      <c r="G42" s="14" t="s">
        <v>27</v>
      </c>
      <c r="H42" s="14" t="s">
        <v>28</v>
      </c>
      <c r="I42" s="14" t="s">
        <v>29</v>
      </c>
    </row>
    <row r="43" spans="1:9" s="3" customFormat="1" ht="30" customHeight="1">
      <c r="A43" s="13">
        <v>41</v>
      </c>
      <c r="B43" s="17"/>
      <c r="C43" s="14" t="s">
        <v>26</v>
      </c>
      <c r="D43" s="14" t="str">
        <f>"王欢欢"</f>
        <v>王欢欢</v>
      </c>
      <c r="E43" s="14" t="str">
        <f t="shared" si="14"/>
        <v>女</v>
      </c>
      <c r="F43" s="14" t="str">
        <f>"1996-12-28"</f>
        <v>1996-12-28</v>
      </c>
      <c r="G43" s="14" t="s">
        <v>27</v>
      </c>
      <c r="H43" s="14" t="s">
        <v>28</v>
      </c>
      <c r="I43" s="14" t="s">
        <v>29</v>
      </c>
    </row>
    <row r="44" spans="1:9" s="3" customFormat="1" ht="30" customHeight="1">
      <c r="A44" s="13">
        <v>42</v>
      </c>
      <c r="B44" s="17"/>
      <c r="C44" s="14" t="s">
        <v>26</v>
      </c>
      <c r="D44" s="14" t="str">
        <f>"李凤清"</f>
        <v>李凤清</v>
      </c>
      <c r="E44" s="14" t="str">
        <f t="shared" si="14"/>
        <v>女</v>
      </c>
      <c r="F44" s="14" t="str">
        <f>"1990-06-03"</f>
        <v>1990-06-03</v>
      </c>
      <c r="G44" s="14" t="s">
        <v>27</v>
      </c>
      <c r="H44" s="14" t="s">
        <v>28</v>
      </c>
      <c r="I44" s="14" t="s">
        <v>30</v>
      </c>
    </row>
    <row r="45" spans="1:9" s="3" customFormat="1" ht="30" customHeight="1">
      <c r="A45" s="13">
        <v>43</v>
      </c>
      <c r="B45" s="17"/>
      <c r="C45" s="14" t="s">
        <v>26</v>
      </c>
      <c r="D45" s="14" t="str">
        <f>"符金晶"</f>
        <v>符金晶</v>
      </c>
      <c r="E45" s="14" t="str">
        <f t="shared" si="14"/>
        <v>女</v>
      </c>
      <c r="F45" s="14" t="str">
        <f>"1993-04-10"</f>
        <v>1993-04-10</v>
      </c>
      <c r="G45" s="14" t="s">
        <v>27</v>
      </c>
      <c r="H45" s="14" t="s">
        <v>28</v>
      </c>
      <c r="I45" s="14" t="s">
        <v>30</v>
      </c>
    </row>
    <row r="46" spans="1:9" s="3" customFormat="1" ht="30" customHeight="1">
      <c r="A46" s="13">
        <v>44</v>
      </c>
      <c r="B46" s="17"/>
      <c r="C46" s="14" t="s">
        <v>26</v>
      </c>
      <c r="D46" s="14" t="str">
        <f>"胡亚琼"</f>
        <v>胡亚琼</v>
      </c>
      <c r="E46" s="14" t="str">
        <f t="shared" si="14"/>
        <v>女</v>
      </c>
      <c r="F46" s="14" t="str">
        <f>"1990-04-17"</f>
        <v>1990-04-17</v>
      </c>
      <c r="G46" s="14" t="s">
        <v>27</v>
      </c>
      <c r="H46" s="14" t="s">
        <v>28</v>
      </c>
      <c r="I46" s="14" t="s">
        <v>30</v>
      </c>
    </row>
    <row r="47" spans="1:9" s="3" customFormat="1" ht="30" customHeight="1">
      <c r="A47" s="13">
        <v>45</v>
      </c>
      <c r="B47" s="17"/>
      <c r="C47" s="14" t="s">
        <v>26</v>
      </c>
      <c r="D47" s="14" t="str">
        <f>"陈太坤"</f>
        <v>陈太坤</v>
      </c>
      <c r="E47" s="14" t="str">
        <f t="shared" si="14"/>
        <v>女</v>
      </c>
      <c r="F47" s="14" t="str">
        <f>"1996-12-18"</f>
        <v>1996-12-18</v>
      </c>
      <c r="G47" s="14" t="s">
        <v>27</v>
      </c>
      <c r="H47" s="14" t="s">
        <v>28</v>
      </c>
      <c r="I47" s="14" t="s">
        <v>30</v>
      </c>
    </row>
    <row r="48" spans="1:9" s="3" customFormat="1" ht="30" customHeight="1">
      <c r="A48" s="13">
        <v>46</v>
      </c>
      <c r="B48" s="17"/>
      <c r="C48" s="14" t="s">
        <v>26</v>
      </c>
      <c r="D48" s="14" t="str">
        <f>"罗清莹"</f>
        <v>罗清莹</v>
      </c>
      <c r="E48" s="14" t="str">
        <f t="shared" si="14"/>
        <v>女</v>
      </c>
      <c r="F48" s="14" t="str">
        <f>"1992-01-23"</f>
        <v>1992-01-23</v>
      </c>
      <c r="G48" s="14" t="s">
        <v>12</v>
      </c>
      <c r="H48" s="14" t="s">
        <v>31</v>
      </c>
      <c r="I48" s="14" t="s">
        <v>29</v>
      </c>
    </row>
    <row r="49" spans="1:9" s="3" customFormat="1" ht="30" customHeight="1">
      <c r="A49" s="13">
        <v>47</v>
      </c>
      <c r="B49" s="17"/>
      <c r="C49" s="14" t="s">
        <v>26</v>
      </c>
      <c r="D49" s="14" t="str">
        <f>"徐霞"</f>
        <v>徐霞</v>
      </c>
      <c r="E49" s="14" t="str">
        <f t="shared" si="14"/>
        <v>女</v>
      </c>
      <c r="F49" s="14" t="str">
        <f>"1998-07-21"</f>
        <v>1998-07-21</v>
      </c>
      <c r="G49" s="14" t="s">
        <v>27</v>
      </c>
      <c r="H49" s="14" t="s">
        <v>28</v>
      </c>
      <c r="I49" s="14" t="s">
        <v>30</v>
      </c>
    </row>
    <row r="50" spans="1:10" s="3" customFormat="1" ht="30" customHeight="1">
      <c r="A50" s="13">
        <v>48</v>
      </c>
      <c r="B50" s="17"/>
      <c r="C50" s="14" t="s">
        <v>26</v>
      </c>
      <c r="D50" s="14" t="str">
        <f>"王顺玲"</f>
        <v>王顺玲</v>
      </c>
      <c r="E50" s="14" t="str">
        <f t="shared" si="14"/>
        <v>女</v>
      </c>
      <c r="F50" s="14" t="str">
        <f>"1993-06-29"</f>
        <v>1993-06-29</v>
      </c>
      <c r="G50" s="14" t="s">
        <v>27</v>
      </c>
      <c r="H50" s="14" t="s">
        <v>28</v>
      </c>
      <c r="I50" s="14" t="s">
        <v>30</v>
      </c>
      <c r="J50" s="20"/>
    </row>
    <row r="51" spans="1:9" s="3" customFormat="1" ht="30" customHeight="1">
      <c r="A51" s="13">
        <v>49</v>
      </c>
      <c r="B51" s="17"/>
      <c r="C51" s="14" t="s">
        <v>26</v>
      </c>
      <c r="D51" s="14" t="str">
        <f>"羊庆成"</f>
        <v>羊庆成</v>
      </c>
      <c r="E51" s="14" t="str">
        <f t="shared" si="14"/>
        <v>女</v>
      </c>
      <c r="F51" s="14" t="str">
        <f>"2000-06-19"</f>
        <v>2000-06-19</v>
      </c>
      <c r="G51" s="14" t="s">
        <v>27</v>
      </c>
      <c r="H51" s="14" t="s">
        <v>28</v>
      </c>
      <c r="I51" s="14" t="s">
        <v>30</v>
      </c>
    </row>
    <row r="52" spans="1:9" s="3" customFormat="1" ht="30" customHeight="1">
      <c r="A52" s="13">
        <v>50</v>
      </c>
      <c r="B52" s="17"/>
      <c r="C52" s="14" t="s">
        <v>26</v>
      </c>
      <c r="D52" s="14" t="str">
        <f>"王珍妮"</f>
        <v>王珍妮</v>
      </c>
      <c r="E52" s="14" t="str">
        <f t="shared" si="14"/>
        <v>女</v>
      </c>
      <c r="F52" s="14" t="str">
        <f>"1990-07-15"</f>
        <v>1990-07-15</v>
      </c>
      <c r="G52" s="14" t="s">
        <v>27</v>
      </c>
      <c r="H52" s="14" t="s">
        <v>28</v>
      </c>
      <c r="I52" s="14" t="s">
        <v>30</v>
      </c>
    </row>
    <row r="53" spans="1:9" s="3" customFormat="1" ht="30" customHeight="1">
      <c r="A53" s="13">
        <v>51</v>
      </c>
      <c r="B53" s="17"/>
      <c r="C53" s="14" t="s">
        <v>26</v>
      </c>
      <c r="D53" s="14" t="str">
        <f>"吴清妃"</f>
        <v>吴清妃</v>
      </c>
      <c r="E53" s="14" t="str">
        <f t="shared" si="14"/>
        <v>女</v>
      </c>
      <c r="F53" s="14" t="str">
        <f>"1995-10-16"</f>
        <v>1995-10-16</v>
      </c>
      <c r="G53" s="14" t="s">
        <v>12</v>
      </c>
      <c r="H53" s="14" t="s">
        <v>31</v>
      </c>
      <c r="I53" s="14" t="s">
        <v>30</v>
      </c>
    </row>
    <row r="54" spans="1:9" s="3" customFormat="1" ht="30" customHeight="1">
      <c r="A54" s="13">
        <v>52</v>
      </c>
      <c r="B54" s="17"/>
      <c r="C54" s="14" t="s">
        <v>26</v>
      </c>
      <c r="D54" s="14" t="str">
        <f>"黄游凡"</f>
        <v>黄游凡</v>
      </c>
      <c r="E54" s="14" t="str">
        <f t="shared" si="14"/>
        <v>女</v>
      </c>
      <c r="F54" s="14" t="str">
        <f>"1989-03-04"</f>
        <v>1989-03-04</v>
      </c>
      <c r="G54" s="14" t="s">
        <v>12</v>
      </c>
      <c r="H54" s="14" t="s">
        <v>31</v>
      </c>
      <c r="I54" s="14" t="s">
        <v>30</v>
      </c>
    </row>
    <row r="55" spans="1:9" s="3" customFormat="1" ht="30" customHeight="1">
      <c r="A55" s="13">
        <v>53</v>
      </c>
      <c r="B55" s="17"/>
      <c r="C55" s="14" t="s">
        <v>26</v>
      </c>
      <c r="D55" s="14" t="str">
        <f>"邓妹青"</f>
        <v>邓妹青</v>
      </c>
      <c r="E55" s="14" t="str">
        <f t="shared" si="14"/>
        <v>女</v>
      </c>
      <c r="F55" s="14" t="str">
        <f>"1989-02-28"</f>
        <v>1989-02-28</v>
      </c>
      <c r="G55" s="14" t="s">
        <v>12</v>
      </c>
      <c r="H55" s="14" t="s">
        <v>31</v>
      </c>
      <c r="I55" s="14" t="s">
        <v>29</v>
      </c>
    </row>
    <row r="56" spans="1:9" s="3" customFormat="1" ht="30" customHeight="1">
      <c r="A56" s="13">
        <v>54</v>
      </c>
      <c r="B56" s="17"/>
      <c r="C56" s="14" t="s">
        <v>26</v>
      </c>
      <c r="D56" s="14" t="str">
        <f>"王迅芳"</f>
        <v>王迅芳</v>
      </c>
      <c r="E56" s="14" t="str">
        <f t="shared" si="14"/>
        <v>女</v>
      </c>
      <c r="F56" s="14" t="str">
        <f>"1991-04-08"</f>
        <v>1991-04-08</v>
      </c>
      <c r="G56" s="14" t="s">
        <v>12</v>
      </c>
      <c r="H56" s="14" t="s">
        <v>31</v>
      </c>
      <c r="I56" s="14" t="s">
        <v>29</v>
      </c>
    </row>
    <row r="57" spans="1:9" s="3" customFormat="1" ht="30" customHeight="1">
      <c r="A57" s="13">
        <v>55</v>
      </c>
      <c r="B57" s="17"/>
      <c r="C57" s="14" t="s">
        <v>26</v>
      </c>
      <c r="D57" s="14" t="str">
        <f>"符秋玲"</f>
        <v>符秋玲</v>
      </c>
      <c r="E57" s="14" t="str">
        <f t="shared" si="14"/>
        <v>女</v>
      </c>
      <c r="F57" s="14" t="str">
        <f>"2000-09-10"</f>
        <v>2000-09-10</v>
      </c>
      <c r="G57" s="14" t="s">
        <v>27</v>
      </c>
      <c r="H57" s="14" t="s">
        <v>28</v>
      </c>
      <c r="I57" s="14" t="s">
        <v>30</v>
      </c>
    </row>
    <row r="58" spans="1:9" s="3" customFormat="1" ht="30" customHeight="1">
      <c r="A58" s="13">
        <v>56</v>
      </c>
      <c r="B58" s="17"/>
      <c r="C58" s="14" t="s">
        <v>26</v>
      </c>
      <c r="D58" s="14" t="str">
        <f>"郑露娇"</f>
        <v>郑露娇</v>
      </c>
      <c r="E58" s="14" t="str">
        <f t="shared" si="14"/>
        <v>女</v>
      </c>
      <c r="F58" s="14" t="str">
        <f>"1997-11-21"</f>
        <v>1997-11-21</v>
      </c>
      <c r="G58" s="14" t="s">
        <v>12</v>
      </c>
      <c r="H58" s="14" t="s">
        <v>31</v>
      </c>
      <c r="I58" s="14" t="s">
        <v>30</v>
      </c>
    </row>
    <row r="59" spans="1:9" s="3" customFormat="1" ht="30" customHeight="1">
      <c r="A59" s="13">
        <v>57</v>
      </c>
      <c r="B59" s="17"/>
      <c r="C59" s="14" t="s">
        <v>26</v>
      </c>
      <c r="D59" s="14" t="str">
        <f>"高业收"</f>
        <v>高业收</v>
      </c>
      <c r="E59" s="14" t="str">
        <f t="shared" si="14"/>
        <v>女</v>
      </c>
      <c r="F59" s="14" t="str">
        <f>"1993-01-09"</f>
        <v>1993-01-09</v>
      </c>
      <c r="G59" s="14" t="s">
        <v>27</v>
      </c>
      <c r="H59" s="14" t="s">
        <v>28</v>
      </c>
      <c r="I59" s="14" t="s">
        <v>30</v>
      </c>
    </row>
    <row r="60" spans="1:9" s="3" customFormat="1" ht="30" customHeight="1">
      <c r="A60" s="13">
        <v>58</v>
      </c>
      <c r="B60" s="17"/>
      <c r="C60" s="14" t="s">
        <v>26</v>
      </c>
      <c r="D60" s="14" t="str">
        <f>"郑乃秋"</f>
        <v>郑乃秋</v>
      </c>
      <c r="E60" s="14" t="str">
        <f t="shared" si="14"/>
        <v>女</v>
      </c>
      <c r="F60" s="14" t="str">
        <f>"1996-12-26"</f>
        <v>1996-12-26</v>
      </c>
      <c r="G60" s="14" t="s">
        <v>27</v>
      </c>
      <c r="H60" s="14" t="s">
        <v>28</v>
      </c>
      <c r="I60" s="14" t="s">
        <v>30</v>
      </c>
    </row>
    <row r="61" spans="1:9" s="3" customFormat="1" ht="30" customHeight="1">
      <c r="A61" s="13">
        <v>59</v>
      </c>
      <c r="B61" s="17"/>
      <c r="C61" s="14" t="s">
        <v>26</v>
      </c>
      <c r="D61" s="14" t="str">
        <f>"黎安娜"</f>
        <v>黎安娜</v>
      </c>
      <c r="E61" s="14" t="str">
        <f t="shared" si="14"/>
        <v>女</v>
      </c>
      <c r="F61" s="14" t="str">
        <f>"1997-02-09"</f>
        <v>1997-02-09</v>
      </c>
      <c r="G61" s="14" t="s">
        <v>27</v>
      </c>
      <c r="H61" s="14" t="s">
        <v>28</v>
      </c>
      <c r="I61" s="14" t="s">
        <v>29</v>
      </c>
    </row>
    <row r="62" spans="1:9" s="3" customFormat="1" ht="30" customHeight="1">
      <c r="A62" s="13">
        <v>60</v>
      </c>
      <c r="B62" s="17"/>
      <c r="C62" s="14" t="s">
        <v>26</v>
      </c>
      <c r="D62" s="14" t="str">
        <f>"符曼云"</f>
        <v>符曼云</v>
      </c>
      <c r="E62" s="14" t="str">
        <f t="shared" si="14"/>
        <v>女</v>
      </c>
      <c r="F62" s="14" t="str">
        <f>"1988-09-01"</f>
        <v>1988-09-01</v>
      </c>
      <c r="G62" s="14" t="s">
        <v>27</v>
      </c>
      <c r="H62" s="14" t="s">
        <v>28</v>
      </c>
      <c r="I62" s="14" t="s">
        <v>29</v>
      </c>
    </row>
    <row r="63" spans="1:9" s="3" customFormat="1" ht="30" customHeight="1">
      <c r="A63" s="13">
        <v>61</v>
      </c>
      <c r="B63" s="17"/>
      <c r="C63" s="14" t="s">
        <v>26</v>
      </c>
      <c r="D63" s="14" t="str">
        <f>"胡小琪"</f>
        <v>胡小琪</v>
      </c>
      <c r="E63" s="14" t="str">
        <f t="shared" si="14"/>
        <v>女</v>
      </c>
      <c r="F63" s="14" t="str">
        <f>"1991-09-30"</f>
        <v>1991-09-30</v>
      </c>
      <c r="G63" s="14" t="s">
        <v>12</v>
      </c>
      <c r="H63" s="14" t="s">
        <v>31</v>
      </c>
      <c r="I63" s="14" t="s">
        <v>29</v>
      </c>
    </row>
    <row r="64" spans="1:9" s="3" customFormat="1" ht="30" customHeight="1">
      <c r="A64" s="13">
        <v>62</v>
      </c>
      <c r="B64" s="17"/>
      <c r="C64" s="14" t="s">
        <v>26</v>
      </c>
      <c r="D64" s="14" t="str">
        <f>"陈珍妹"</f>
        <v>陈珍妹</v>
      </c>
      <c r="E64" s="14" t="str">
        <f t="shared" si="14"/>
        <v>女</v>
      </c>
      <c r="F64" s="14" t="str">
        <f>"1988-10-11"</f>
        <v>1988-10-11</v>
      </c>
      <c r="G64" s="14" t="s">
        <v>27</v>
      </c>
      <c r="H64" s="14" t="s">
        <v>28</v>
      </c>
      <c r="I64" s="14" t="s">
        <v>30</v>
      </c>
    </row>
    <row r="65" spans="1:9" s="3" customFormat="1" ht="30" customHeight="1">
      <c r="A65" s="13">
        <v>63</v>
      </c>
      <c r="B65" s="17"/>
      <c r="C65" s="14" t="s">
        <v>26</v>
      </c>
      <c r="D65" s="14" t="str">
        <f>"袁会诗"</f>
        <v>袁会诗</v>
      </c>
      <c r="E65" s="14" t="str">
        <f t="shared" si="14"/>
        <v>女</v>
      </c>
      <c r="F65" s="14" t="str">
        <f>"1997-01-13"</f>
        <v>1997-01-13</v>
      </c>
      <c r="G65" s="14" t="s">
        <v>12</v>
      </c>
      <c r="H65" s="14" t="s">
        <v>31</v>
      </c>
      <c r="I65" s="14" t="s">
        <v>30</v>
      </c>
    </row>
    <row r="66" spans="1:9" s="3" customFormat="1" ht="30" customHeight="1">
      <c r="A66" s="13">
        <v>64</v>
      </c>
      <c r="B66" s="17"/>
      <c r="C66" s="14" t="s">
        <v>26</v>
      </c>
      <c r="D66" s="14" t="str">
        <f>"吴芳"</f>
        <v>吴芳</v>
      </c>
      <c r="E66" s="14" t="str">
        <f t="shared" si="14"/>
        <v>女</v>
      </c>
      <c r="F66" s="14" t="str">
        <f>"1993-01-24"</f>
        <v>1993-01-24</v>
      </c>
      <c r="G66" s="14" t="s">
        <v>27</v>
      </c>
      <c r="H66" s="14" t="s">
        <v>28</v>
      </c>
      <c r="I66" s="14" t="s">
        <v>29</v>
      </c>
    </row>
    <row r="67" spans="1:9" s="3" customFormat="1" ht="30" customHeight="1">
      <c r="A67" s="13">
        <v>65</v>
      </c>
      <c r="B67" s="17"/>
      <c r="C67" s="14" t="s">
        <v>26</v>
      </c>
      <c r="D67" s="14" t="str">
        <f>"罗丽君"</f>
        <v>罗丽君</v>
      </c>
      <c r="E67" s="14" t="str">
        <f t="shared" si="14"/>
        <v>女</v>
      </c>
      <c r="F67" s="14" t="str">
        <f>"1997-01-14"</f>
        <v>1997-01-14</v>
      </c>
      <c r="G67" s="14" t="s">
        <v>27</v>
      </c>
      <c r="H67" s="14" t="s">
        <v>28</v>
      </c>
      <c r="I67" s="14" t="s">
        <v>30</v>
      </c>
    </row>
    <row r="68" spans="1:9" s="3" customFormat="1" ht="30" customHeight="1">
      <c r="A68" s="13">
        <v>66</v>
      </c>
      <c r="B68" s="17"/>
      <c r="C68" s="14" t="s">
        <v>26</v>
      </c>
      <c r="D68" s="14" t="str">
        <f>"张裕三"</f>
        <v>张裕三</v>
      </c>
      <c r="E68" s="14" t="str">
        <f t="shared" si="14"/>
        <v>女</v>
      </c>
      <c r="F68" s="14" t="str">
        <f>"1993-10-12"</f>
        <v>1993-10-12</v>
      </c>
      <c r="G68" s="14" t="s">
        <v>27</v>
      </c>
      <c r="H68" s="14" t="s">
        <v>28</v>
      </c>
      <c r="I68" s="14" t="s">
        <v>29</v>
      </c>
    </row>
    <row r="69" spans="1:9" s="3" customFormat="1" ht="30" customHeight="1">
      <c r="A69" s="13">
        <v>67</v>
      </c>
      <c r="B69" s="17"/>
      <c r="C69" s="14" t="s">
        <v>26</v>
      </c>
      <c r="D69" s="14" t="str">
        <f>"陈巨娥"</f>
        <v>陈巨娥</v>
      </c>
      <c r="E69" s="14" t="str">
        <f t="shared" si="14"/>
        <v>女</v>
      </c>
      <c r="F69" s="14" t="str">
        <f>"1998-01-18"</f>
        <v>1998-01-18</v>
      </c>
      <c r="G69" s="14" t="s">
        <v>27</v>
      </c>
      <c r="H69" s="14" t="s">
        <v>32</v>
      </c>
      <c r="I69" s="14" t="s">
        <v>30</v>
      </c>
    </row>
    <row r="70" spans="1:9" s="3" customFormat="1" ht="30" customHeight="1">
      <c r="A70" s="13">
        <v>68</v>
      </c>
      <c r="B70" s="17"/>
      <c r="C70" s="14" t="s">
        <v>26</v>
      </c>
      <c r="D70" s="14" t="str">
        <f>"凌燕花"</f>
        <v>凌燕花</v>
      </c>
      <c r="E70" s="14" t="str">
        <f t="shared" si="14"/>
        <v>女</v>
      </c>
      <c r="F70" s="14" t="str">
        <f>"1990-01-10"</f>
        <v>1990-01-10</v>
      </c>
      <c r="G70" s="14" t="s">
        <v>27</v>
      </c>
      <c r="H70" s="14" t="s">
        <v>28</v>
      </c>
      <c r="I70" s="14" t="s">
        <v>29</v>
      </c>
    </row>
    <row r="71" spans="1:9" s="3" customFormat="1" ht="30" customHeight="1">
      <c r="A71" s="13">
        <v>69</v>
      </c>
      <c r="B71" s="17"/>
      <c r="C71" s="14" t="s">
        <v>26</v>
      </c>
      <c r="D71" s="14" t="str">
        <f>"吴丽娜"</f>
        <v>吴丽娜</v>
      </c>
      <c r="E71" s="14" t="str">
        <f t="shared" si="14"/>
        <v>女</v>
      </c>
      <c r="F71" s="14" t="str">
        <f>"1988-05-20"</f>
        <v>1988-05-20</v>
      </c>
      <c r="G71" s="14" t="s">
        <v>27</v>
      </c>
      <c r="H71" s="14" t="s">
        <v>28</v>
      </c>
      <c r="I71" s="14" t="s">
        <v>30</v>
      </c>
    </row>
    <row r="72" spans="1:9" s="3" customFormat="1" ht="30" customHeight="1">
      <c r="A72" s="13">
        <v>70</v>
      </c>
      <c r="B72" s="17"/>
      <c r="C72" s="14" t="s">
        <v>26</v>
      </c>
      <c r="D72" s="14" t="str">
        <f>"苏春花"</f>
        <v>苏春花</v>
      </c>
      <c r="E72" s="14" t="str">
        <f t="shared" si="14"/>
        <v>女</v>
      </c>
      <c r="F72" s="14" t="str">
        <f>"1999-03-29"</f>
        <v>1999-03-29</v>
      </c>
      <c r="G72" s="14" t="s">
        <v>27</v>
      </c>
      <c r="H72" s="14" t="s">
        <v>28</v>
      </c>
      <c r="I72" s="14" t="s">
        <v>30</v>
      </c>
    </row>
    <row r="73" spans="1:9" s="3" customFormat="1" ht="30" customHeight="1">
      <c r="A73" s="13">
        <v>71</v>
      </c>
      <c r="B73" s="17"/>
      <c r="C73" s="14" t="s">
        <v>26</v>
      </c>
      <c r="D73" s="14" t="str">
        <f>"王丽丽"</f>
        <v>王丽丽</v>
      </c>
      <c r="E73" s="14" t="str">
        <f t="shared" si="14"/>
        <v>女</v>
      </c>
      <c r="F73" s="14" t="str">
        <f>"1992-06-30"</f>
        <v>1992-06-30</v>
      </c>
      <c r="G73" s="14" t="s">
        <v>27</v>
      </c>
      <c r="H73" s="14" t="s">
        <v>28</v>
      </c>
      <c r="I73" s="14" t="s">
        <v>30</v>
      </c>
    </row>
    <row r="74" spans="1:9" s="3" customFormat="1" ht="30" customHeight="1">
      <c r="A74" s="13">
        <v>72</v>
      </c>
      <c r="B74" s="17"/>
      <c r="C74" s="14" t="s">
        <v>26</v>
      </c>
      <c r="D74" s="14" t="str">
        <f>"蓝丽花"</f>
        <v>蓝丽花</v>
      </c>
      <c r="E74" s="14" t="str">
        <f t="shared" si="14"/>
        <v>女</v>
      </c>
      <c r="F74" s="14" t="str">
        <f>"1991-05-25"</f>
        <v>1991-05-25</v>
      </c>
      <c r="G74" s="14" t="s">
        <v>12</v>
      </c>
      <c r="H74" s="14" t="s">
        <v>31</v>
      </c>
      <c r="I74" s="14" t="s">
        <v>29</v>
      </c>
    </row>
    <row r="75" spans="1:9" s="3" customFormat="1" ht="30" customHeight="1">
      <c r="A75" s="13">
        <v>73</v>
      </c>
      <c r="B75" s="17"/>
      <c r="C75" s="14" t="s">
        <v>26</v>
      </c>
      <c r="D75" s="14" t="str">
        <f>"李晓宝"</f>
        <v>李晓宝</v>
      </c>
      <c r="E75" s="14" t="str">
        <f t="shared" si="14"/>
        <v>女</v>
      </c>
      <c r="F75" s="14" t="str">
        <f>"1991-04-22"</f>
        <v>1991-04-22</v>
      </c>
      <c r="G75" s="14" t="s">
        <v>12</v>
      </c>
      <c r="H75" s="14" t="s">
        <v>31</v>
      </c>
      <c r="I75" s="14" t="s">
        <v>33</v>
      </c>
    </row>
    <row r="76" spans="1:9" s="3" customFormat="1" ht="30" customHeight="1">
      <c r="A76" s="13">
        <v>74</v>
      </c>
      <c r="B76" s="17"/>
      <c r="C76" s="14" t="s">
        <v>26</v>
      </c>
      <c r="D76" s="14" t="str">
        <f>"梁其法"</f>
        <v>梁其法</v>
      </c>
      <c r="E76" s="14" t="str">
        <f>"男"</f>
        <v>男</v>
      </c>
      <c r="F76" s="14" t="str">
        <f>"1997-11-08"</f>
        <v>1997-11-08</v>
      </c>
      <c r="G76" s="14" t="s">
        <v>27</v>
      </c>
      <c r="H76" s="14" t="s">
        <v>28</v>
      </c>
      <c r="I76" s="14" t="s">
        <v>30</v>
      </c>
    </row>
    <row r="77" spans="1:9" s="3" customFormat="1" ht="30" customHeight="1">
      <c r="A77" s="13">
        <v>75</v>
      </c>
      <c r="B77" s="17"/>
      <c r="C77" s="14" t="s">
        <v>26</v>
      </c>
      <c r="D77" s="14" t="str">
        <f>"刘岩"</f>
        <v>刘岩</v>
      </c>
      <c r="E77" s="14" t="str">
        <f aca="true" t="shared" si="15" ref="E77:E86">"女"</f>
        <v>女</v>
      </c>
      <c r="F77" s="14" t="str">
        <f>"1990-10-22"</f>
        <v>1990-10-22</v>
      </c>
      <c r="G77" s="14" t="s">
        <v>12</v>
      </c>
      <c r="H77" s="14" t="s">
        <v>31</v>
      </c>
      <c r="I77" s="14" t="s">
        <v>29</v>
      </c>
    </row>
    <row r="78" spans="1:9" s="3" customFormat="1" ht="30" customHeight="1">
      <c r="A78" s="13">
        <v>76</v>
      </c>
      <c r="B78" s="17"/>
      <c r="C78" s="14" t="s">
        <v>26</v>
      </c>
      <c r="D78" s="14" t="str">
        <f>"冯海花"</f>
        <v>冯海花</v>
      </c>
      <c r="E78" s="14" t="str">
        <f t="shared" si="15"/>
        <v>女</v>
      </c>
      <c r="F78" s="14" t="str">
        <f>"1989-05-24"</f>
        <v>1989-05-24</v>
      </c>
      <c r="G78" s="14" t="s">
        <v>27</v>
      </c>
      <c r="H78" s="14" t="s">
        <v>32</v>
      </c>
      <c r="I78" s="14" t="s">
        <v>29</v>
      </c>
    </row>
    <row r="79" spans="1:9" s="3" customFormat="1" ht="30" customHeight="1">
      <c r="A79" s="13">
        <v>77</v>
      </c>
      <c r="B79" s="17"/>
      <c r="C79" s="14" t="s">
        <v>26</v>
      </c>
      <c r="D79" s="14" t="str">
        <f>"刘玉婷"</f>
        <v>刘玉婷</v>
      </c>
      <c r="E79" s="14" t="str">
        <f t="shared" si="15"/>
        <v>女</v>
      </c>
      <c r="F79" s="14" t="str">
        <f>"1998-12-09"</f>
        <v>1998-12-09</v>
      </c>
      <c r="G79" s="14" t="s">
        <v>12</v>
      </c>
      <c r="H79" s="14" t="s">
        <v>31</v>
      </c>
      <c r="I79" s="14" t="s">
        <v>30</v>
      </c>
    </row>
    <row r="80" spans="1:9" s="3" customFormat="1" ht="30" customHeight="1">
      <c r="A80" s="13">
        <v>78</v>
      </c>
      <c r="B80" s="17"/>
      <c r="C80" s="14" t="s">
        <v>26</v>
      </c>
      <c r="D80" s="14" t="str">
        <f>"胡丽柔"</f>
        <v>胡丽柔</v>
      </c>
      <c r="E80" s="14" t="str">
        <f t="shared" si="15"/>
        <v>女</v>
      </c>
      <c r="F80" s="14" t="str">
        <f>"1999-03-12"</f>
        <v>1999-03-12</v>
      </c>
      <c r="G80" s="14" t="s">
        <v>27</v>
      </c>
      <c r="H80" s="14" t="s">
        <v>28</v>
      </c>
      <c r="I80" s="14" t="s">
        <v>30</v>
      </c>
    </row>
    <row r="81" spans="1:9" s="3" customFormat="1" ht="30" customHeight="1">
      <c r="A81" s="13">
        <v>79</v>
      </c>
      <c r="B81" s="17"/>
      <c r="C81" s="14" t="s">
        <v>26</v>
      </c>
      <c r="D81" s="14" t="str">
        <f>"农嘉祺"</f>
        <v>农嘉祺</v>
      </c>
      <c r="E81" s="14" t="str">
        <f t="shared" si="15"/>
        <v>女</v>
      </c>
      <c r="F81" s="14" t="str">
        <f>"1992-03-13"</f>
        <v>1992-03-13</v>
      </c>
      <c r="G81" s="14" t="s">
        <v>12</v>
      </c>
      <c r="H81" s="14" t="s">
        <v>31</v>
      </c>
      <c r="I81" s="14" t="s">
        <v>29</v>
      </c>
    </row>
    <row r="82" spans="1:9" s="3" customFormat="1" ht="30" customHeight="1">
      <c r="A82" s="13">
        <v>80</v>
      </c>
      <c r="B82" s="17"/>
      <c r="C82" s="14" t="s">
        <v>26</v>
      </c>
      <c r="D82" s="14" t="str">
        <f>"陈蓝"</f>
        <v>陈蓝</v>
      </c>
      <c r="E82" s="14" t="str">
        <f t="shared" si="15"/>
        <v>女</v>
      </c>
      <c r="F82" s="14" t="str">
        <f>"1993-08-21"</f>
        <v>1993-08-21</v>
      </c>
      <c r="G82" s="14" t="s">
        <v>12</v>
      </c>
      <c r="H82" s="14" t="s">
        <v>31</v>
      </c>
      <c r="I82" s="14" t="s">
        <v>29</v>
      </c>
    </row>
    <row r="83" spans="1:9" s="3" customFormat="1" ht="30" customHeight="1">
      <c r="A83" s="13">
        <v>81</v>
      </c>
      <c r="B83" s="17"/>
      <c r="C83" s="14" t="s">
        <v>26</v>
      </c>
      <c r="D83" s="14" t="str">
        <f>"林玉玲"</f>
        <v>林玉玲</v>
      </c>
      <c r="E83" s="14" t="str">
        <f t="shared" si="15"/>
        <v>女</v>
      </c>
      <c r="F83" s="14" t="str">
        <f>"1990-07-20"</f>
        <v>1990-07-20</v>
      </c>
      <c r="G83" s="14" t="s">
        <v>12</v>
      </c>
      <c r="H83" s="14" t="s">
        <v>31</v>
      </c>
      <c r="I83" s="14" t="s">
        <v>29</v>
      </c>
    </row>
    <row r="84" spans="1:9" s="3" customFormat="1" ht="30" customHeight="1">
      <c r="A84" s="13">
        <v>82</v>
      </c>
      <c r="B84" s="17"/>
      <c r="C84" s="14" t="s">
        <v>26</v>
      </c>
      <c r="D84" s="14" t="str">
        <f>"谭旭阳"</f>
        <v>谭旭阳</v>
      </c>
      <c r="E84" s="14" t="str">
        <f t="shared" si="15"/>
        <v>女</v>
      </c>
      <c r="F84" s="14" t="str">
        <f>"1998-03-17"</f>
        <v>1998-03-17</v>
      </c>
      <c r="G84" s="14" t="s">
        <v>27</v>
      </c>
      <c r="H84" s="14" t="s">
        <v>28</v>
      </c>
      <c r="I84" s="14" t="s">
        <v>30</v>
      </c>
    </row>
    <row r="85" spans="1:9" s="3" customFormat="1" ht="30" customHeight="1">
      <c r="A85" s="13">
        <v>83</v>
      </c>
      <c r="B85" s="17"/>
      <c r="C85" s="14" t="s">
        <v>26</v>
      </c>
      <c r="D85" s="14" t="str">
        <f>"陈翠香"</f>
        <v>陈翠香</v>
      </c>
      <c r="E85" s="14" t="str">
        <f t="shared" si="15"/>
        <v>女</v>
      </c>
      <c r="F85" s="14" t="str">
        <f>"1995-06-28"</f>
        <v>1995-06-28</v>
      </c>
      <c r="G85" s="14" t="s">
        <v>27</v>
      </c>
      <c r="H85" s="14" t="s">
        <v>28</v>
      </c>
      <c r="I85" s="14" t="s">
        <v>29</v>
      </c>
    </row>
    <row r="86" spans="1:9" s="3" customFormat="1" ht="30" customHeight="1">
      <c r="A86" s="13">
        <v>84</v>
      </c>
      <c r="B86" s="17"/>
      <c r="C86" s="14" t="s">
        <v>26</v>
      </c>
      <c r="D86" s="14" t="str">
        <f>"黄安琪"</f>
        <v>黄安琪</v>
      </c>
      <c r="E86" s="14" t="str">
        <f t="shared" si="15"/>
        <v>女</v>
      </c>
      <c r="F86" s="14" t="str">
        <f>"1996-10-26"</f>
        <v>1996-10-26</v>
      </c>
      <c r="G86" s="14" t="s">
        <v>27</v>
      </c>
      <c r="H86" s="14" t="s">
        <v>28</v>
      </c>
      <c r="I86" s="14" t="s">
        <v>30</v>
      </c>
    </row>
    <row r="87" spans="1:9" s="3" customFormat="1" ht="30" customHeight="1">
      <c r="A87" s="13">
        <v>85</v>
      </c>
      <c r="B87" s="17"/>
      <c r="C87" s="14" t="s">
        <v>26</v>
      </c>
      <c r="D87" s="14" t="str">
        <f>"王上铗"</f>
        <v>王上铗</v>
      </c>
      <c r="E87" s="14" t="str">
        <f>"男"</f>
        <v>男</v>
      </c>
      <c r="F87" s="14" t="str">
        <f>"1997-06-10"</f>
        <v>1997-06-10</v>
      </c>
      <c r="G87" s="14" t="s">
        <v>27</v>
      </c>
      <c r="H87" s="14" t="s">
        <v>28</v>
      </c>
      <c r="I87" s="14" t="s">
        <v>30</v>
      </c>
    </row>
    <row r="88" spans="1:9" s="3" customFormat="1" ht="30" customHeight="1">
      <c r="A88" s="13">
        <v>86</v>
      </c>
      <c r="B88" s="17"/>
      <c r="C88" s="14" t="s">
        <v>26</v>
      </c>
      <c r="D88" s="14" t="str">
        <f>"陈冬初"</f>
        <v>陈冬初</v>
      </c>
      <c r="E88" s="14" t="str">
        <f aca="true" t="shared" si="16" ref="E88:E112">"女"</f>
        <v>女</v>
      </c>
      <c r="F88" s="14" t="str">
        <f>"1997-10-01"</f>
        <v>1997-10-01</v>
      </c>
      <c r="G88" s="14" t="s">
        <v>27</v>
      </c>
      <c r="H88" s="14" t="s">
        <v>28</v>
      </c>
      <c r="I88" s="14" t="s">
        <v>30</v>
      </c>
    </row>
    <row r="89" spans="1:9" s="3" customFormat="1" ht="30" customHeight="1">
      <c r="A89" s="13">
        <v>87</v>
      </c>
      <c r="B89" s="17"/>
      <c r="C89" s="14" t="s">
        <v>26</v>
      </c>
      <c r="D89" s="14" t="str">
        <f>"王娟"</f>
        <v>王娟</v>
      </c>
      <c r="E89" s="14" t="str">
        <f t="shared" si="16"/>
        <v>女</v>
      </c>
      <c r="F89" s="14" t="str">
        <f>"1993-02-16"</f>
        <v>1993-02-16</v>
      </c>
      <c r="G89" s="14" t="s">
        <v>27</v>
      </c>
      <c r="H89" s="14" t="s">
        <v>28</v>
      </c>
      <c r="I89" s="14" t="s">
        <v>29</v>
      </c>
    </row>
    <row r="90" spans="1:9" s="3" customFormat="1" ht="30" customHeight="1">
      <c r="A90" s="13">
        <v>88</v>
      </c>
      <c r="B90" s="17"/>
      <c r="C90" s="14" t="s">
        <v>26</v>
      </c>
      <c r="D90" s="14" t="str">
        <f>"潘海英"</f>
        <v>潘海英</v>
      </c>
      <c r="E90" s="14" t="str">
        <f t="shared" si="16"/>
        <v>女</v>
      </c>
      <c r="F90" s="14" t="str">
        <f>"1996-04-15"</f>
        <v>1996-04-15</v>
      </c>
      <c r="G90" s="14" t="s">
        <v>27</v>
      </c>
      <c r="H90" s="14" t="s">
        <v>28</v>
      </c>
      <c r="I90" s="14" t="s">
        <v>30</v>
      </c>
    </row>
    <row r="91" spans="1:9" s="3" customFormat="1" ht="30" customHeight="1">
      <c r="A91" s="13">
        <v>89</v>
      </c>
      <c r="B91" s="17"/>
      <c r="C91" s="14" t="s">
        <v>26</v>
      </c>
      <c r="D91" s="14" t="str">
        <f>"王雪丹"</f>
        <v>王雪丹</v>
      </c>
      <c r="E91" s="14" t="str">
        <f t="shared" si="16"/>
        <v>女</v>
      </c>
      <c r="F91" s="14" t="str">
        <f>"1995-02-05"</f>
        <v>1995-02-05</v>
      </c>
      <c r="G91" s="14" t="s">
        <v>27</v>
      </c>
      <c r="H91" s="14" t="s">
        <v>28</v>
      </c>
      <c r="I91" s="14" t="s">
        <v>30</v>
      </c>
    </row>
    <row r="92" spans="1:9" s="3" customFormat="1" ht="30" customHeight="1">
      <c r="A92" s="13">
        <v>90</v>
      </c>
      <c r="B92" s="17"/>
      <c r="C92" s="14" t="s">
        <v>26</v>
      </c>
      <c r="D92" s="14" t="str">
        <f>"卓文静"</f>
        <v>卓文静</v>
      </c>
      <c r="E92" s="14" t="str">
        <f t="shared" si="16"/>
        <v>女</v>
      </c>
      <c r="F92" s="14" t="str">
        <f>"2002-02-17"</f>
        <v>2002-02-17</v>
      </c>
      <c r="G92" s="14" t="s">
        <v>27</v>
      </c>
      <c r="H92" s="14" t="s">
        <v>28</v>
      </c>
      <c r="I92" s="14" t="s">
        <v>30</v>
      </c>
    </row>
    <row r="93" spans="1:9" s="3" customFormat="1" ht="30" customHeight="1">
      <c r="A93" s="13">
        <v>91</v>
      </c>
      <c r="B93" s="17"/>
      <c r="C93" s="14" t="s">
        <v>26</v>
      </c>
      <c r="D93" s="14" t="str">
        <f>"朱井善"</f>
        <v>朱井善</v>
      </c>
      <c r="E93" s="14" t="str">
        <f t="shared" si="16"/>
        <v>女</v>
      </c>
      <c r="F93" s="14" t="str">
        <f>"1999-11-04"</f>
        <v>1999-11-04</v>
      </c>
      <c r="G93" s="14" t="s">
        <v>27</v>
      </c>
      <c r="H93" s="14" t="s">
        <v>32</v>
      </c>
      <c r="I93" s="14" t="s">
        <v>30</v>
      </c>
    </row>
    <row r="94" spans="1:9" s="3" customFormat="1" ht="30" customHeight="1">
      <c r="A94" s="13">
        <v>92</v>
      </c>
      <c r="B94" s="17"/>
      <c r="C94" s="14" t="s">
        <v>26</v>
      </c>
      <c r="D94" s="14" t="str">
        <f>"高佳倩"</f>
        <v>高佳倩</v>
      </c>
      <c r="E94" s="14" t="str">
        <f t="shared" si="16"/>
        <v>女</v>
      </c>
      <c r="F94" s="14" t="str">
        <f>"1999-05-04"</f>
        <v>1999-05-04</v>
      </c>
      <c r="G94" s="14" t="s">
        <v>27</v>
      </c>
      <c r="H94" s="14" t="s">
        <v>28</v>
      </c>
      <c r="I94" s="14" t="s">
        <v>29</v>
      </c>
    </row>
    <row r="95" spans="1:9" s="3" customFormat="1" ht="30" customHeight="1">
      <c r="A95" s="13">
        <v>93</v>
      </c>
      <c r="B95" s="17"/>
      <c r="C95" s="14" t="s">
        <v>26</v>
      </c>
      <c r="D95" s="14" t="str">
        <f>"陈坪"</f>
        <v>陈坪</v>
      </c>
      <c r="E95" s="14" t="str">
        <f t="shared" si="16"/>
        <v>女</v>
      </c>
      <c r="F95" s="14" t="str">
        <f>"1999-04-20"</f>
        <v>1999-04-20</v>
      </c>
      <c r="G95" s="14" t="s">
        <v>27</v>
      </c>
      <c r="H95" s="14" t="s">
        <v>32</v>
      </c>
      <c r="I95" s="14" t="s">
        <v>30</v>
      </c>
    </row>
    <row r="96" spans="1:9" s="3" customFormat="1" ht="30" customHeight="1">
      <c r="A96" s="13">
        <v>94</v>
      </c>
      <c r="B96" s="17"/>
      <c r="C96" s="14" t="s">
        <v>26</v>
      </c>
      <c r="D96" s="14" t="str">
        <f>"胡秀玉"</f>
        <v>胡秀玉</v>
      </c>
      <c r="E96" s="14" t="str">
        <f t="shared" si="16"/>
        <v>女</v>
      </c>
      <c r="F96" s="14" t="str">
        <f>"1990-05-14"</f>
        <v>1990-05-14</v>
      </c>
      <c r="G96" s="14" t="s">
        <v>27</v>
      </c>
      <c r="H96" s="14" t="s">
        <v>28</v>
      </c>
      <c r="I96" s="14" t="s">
        <v>29</v>
      </c>
    </row>
    <row r="97" spans="1:9" s="3" customFormat="1" ht="30" customHeight="1">
      <c r="A97" s="13">
        <v>95</v>
      </c>
      <c r="B97" s="17"/>
      <c r="C97" s="14" t="s">
        <v>26</v>
      </c>
      <c r="D97" s="14" t="str">
        <f>"黄建萍"</f>
        <v>黄建萍</v>
      </c>
      <c r="E97" s="14" t="str">
        <f t="shared" si="16"/>
        <v>女</v>
      </c>
      <c r="F97" s="14" t="str">
        <f>"1990-02-12"</f>
        <v>1990-02-12</v>
      </c>
      <c r="G97" s="14" t="s">
        <v>12</v>
      </c>
      <c r="H97" s="14" t="s">
        <v>31</v>
      </c>
      <c r="I97" s="14" t="s">
        <v>29</v>
      </c>
    </row>
    <row r="98" spans="1:9" s="3" customFormat="1" ht="30" customHeight="1">
      <c r="A98" s="13">
        <v>96</v>
      </c>
      <c r="B98" s="17"/>
      <c r="C98" s="14" t="s">
        <v>26</v>
      </c>
      <c r="D98" s="14" t="str">
        <f>"黄晓贝"</f>
        <v>黄晓贝</v>
      </c>
      <c r="E98" s="14" t="str">
        <f t="shared" si="16"/>
        <v>女</v>
      </c>
      <c r="F98" s="14" t="str">
        <f>"1993-07-11"</f>
        <v>1993-07-11</v>
      </c>
      <c r="G98" s="14" t="s">
        <v>27</v>
      </c>
      <c r="H98" s="14" t="s">
        <v>28</v>
      </c>
      <c r="I98" s="14" t="s">
        <v>30</v>
      </c>
    </row>
    <row r="99" spans="1:9" s="3" customFormat="1" ht="30" customHeight="1">
      <c r="A99" s="13">
        <v>97</v>
      </c>
      <c r="B99" s="17"/>
      <c r="C99" s="14" t="s">
        <v>26</v>
      </c>
      <c r="D99" s="14" t="str">
        <f>"林尤婷"</f>
        <v>林尤婷</v>
      </c>
      <c r="E99" s="14" t="str">
        <f t="shared" si="16"/>
        <v>女</v>
      </c>
      <c r="F99" s="14" t="str">
        <f>"1991-09-07"</f>
        <v>1991-09-07</v>
      </c>
      <c r="G99" s="14" t="s">
        <v>27</v>
      </c>
      <c r="H99" s="14" t="s">
        <v>28</v>
      </c>
      <c r="I99" s="14" t="s">
        <v>30</v>
      </c>
    </row>
    <row r="100" spans="1:9" s="3" customFormat="1" ht="30" customHeight="1">
      <c r="A100" s="13">
        <v>98</v>
      </c>
      <c r="B100" s="17"/>
      <c r="C100" s="14" t="s">
        <v>26</v>
      </c>
      <c r="D100" s="14" t="str">
        <f>"符桂祝"</f>
        <v>符桂祝</v>
      </c>
      <c r="E100" s="14" t="str">
        <f t="shared" si="16"/>
        <v>女</v>
      </c>
      <c r="F100" s="14" t="str">
        <f>"1995-10-13"</f>
        <v>1995-10-13</v>
      </c>
      <c r="G100" s="14" t="s">
        <v>27</v>
      </c>
      <c r="H100" s="14" t="s">
        <v>28</v>
      </c>
      <c r="I100" s="14" t="s">
        <v>30</v>
      </c>
    </row>
    <row r="101" spans="1:9" s="3" customFormat="1" ht="30" customHeight="1">
      <c r="A101" s="13">
        <v>99</v>
      </c>
      <c r="B101" s="17"/>
      <c r="C101" s="14" t="s">
        <v>26</v>
      </c>
      <c r="D101" s="14" t="str">
        <f>"蔡云冰"</f>
        <v>蔡云冰</v>
      </c>
      <c r="E101" s="14" t="str">
        <f t="shared" si="16"/>
        <v>女</v>
      </c>
      <c r="F101" s="14" t="str">
        <f>"2000-06-07"</f>
        <v>2000-06-07</v>
      </c>
      <c r="G101" s="14" t="s">
        <v>27</v>
      </c>
      <c r="H101" s="14" t="s">
        <v>28</v>
      </c>
      <c r="I101" s="14" t="s">
        <v>30</v>
      </c>
    </row>
    <row r="102" spans="1:9" s="3" customFormat="1" ht="30" customHeight="1">
      <c r="A102" s="13">
        <v>100</v>
      </c>
      <c r="B102" s="17"/>
      <c r="C102" s="14" t="s">
        <v>26</v>
      </c>
      <c r="D102" s="14" t="str">
        <f>"高梦芸"</f>
        <v>高梦芸</v>
      </c>
      <c r="E102" s="14" t="str">
        <f t="shared" si="16"/>
        <v>女</v>
      </c>
      <c r="F102" s="14" t="str">
        <f>"1997-01-16"</f>
        <v>1997-01-16</v>
      </c>
      <c r="G102" s="14" t="s">
        <v>27</v>
      </c>
      <c r="H102" s="14" t="s">
        <v>28</v>
      </c>
      <c r="I102" s="14" t="s">
        <v>30</v>
      </c>
    </row>
    <row r="103" spans="1:9" s="3" customFormat="1" ht="30" customHeight="1">
      <c r="A103" s="13">
        <v>101</v>
      </c>
      <c r="B103" s="17"/>
      <c r="C103" s="14" t="s">
        <v>26</v>
      </c>
      <c r="D103" s="14" t="str">
        <f>"卢军柳"</f>
        <v>卢军柳</v>
      </c>
      <c r="E103" s="14" t="str">
        <f t="shared" si="16"/>
        <v>女</v>
      </c>
      <c r="F103" s="14" t="str">
        <f>"1998-01-15"</f>
        <v>1998-01-15</v>
      </c>
      <c r="G103" s="14" t="s">
        <v>27</v>
      </c>
      <c r="H103" s="14" t="s">
        <v>28</v>
      </c>
      <c r="I103" s="14" t="s">
        <v>30</v>
      </c>
    </row>
    <row r="104" spans="1:9" s="3" customFormat="1" ht="30" customHeight="1">
      <c r="A104" s="13">
        <v>102</v>
      </c>
      <c r="B104" s="17"/>
      <c r="C104" s="14" t="s">
        <v>26</v>
      </c>
      <c r="D104" s="14" t="str">
        <f>"雷从丽"</f>
        <v>雷从丽</v>
      </c>
      <c r="E104" s="14" t="str">
        <f t="shared" si="16"/>
        <v>女</v>
      </c>
      <c r="F104" s="14" t="str">
        <f>"2000-11-15"</f>
        <v>2000-11-15</v>
      </c>
      <c r="G104" s="14" t="s">
        <v>27</v>
      </c>
      <c r="H104" s="14" t="s">
        <v>28</v>
      </c>
      <c r="I104" s="14" t="s">
        <v>30</v>
      </c>
    </row>
    <row r="105" spans="1:9" s="3" customFormat="1" ht="30" customHeight="1">
      <c r="A105" s="13">
        <v>103</v>
      </c>
      <c r="B105" s="17"/>
      <c r="C105" s="14" t="s">
        <v>26</v>
      </c>
      <c r="D105" s="14" t="str">
        <f>"陈运梦"</f>
        <v>陈运梦</v>
      </c>
      <c r="E105" s="14" t="str">
        <f t="shared" si="16"/>
        <v>女</v>
      </c>
      <c r="F105" s="14" t="str">
        <f>"1997-10-30"</f>
        <v>1997-10-30</v>
      </c>
      <c r="G105" s="14" t="s">
        <v>27</v>
      </c>
      <c r="H105" s="14" t="s">
        <v>28</v>
      </c>
      <c r="I105" s="14" t="s">
        <v>30</v>
      </c>
    </row>
    <row r="106" spans="1:9" s="3" customFormat="1" ht="30" customHeight="1">
      <c r="A106" s="13">
        <v>104</v>
      </c>
      <c r="B106" s="17"/>
      <c r="C106" s="14" t="s">
        <v>26</v>
      </c>
      <c r="D106" s="14" t="str">
        <f>"文婷"</f>
        <v>文婷</v>
      </c>
      <c r="E106" s="14" t="str">
        <f t="shared" si="16"/>
        <v>女</v>
      </c>
      <c r="F106" s="14" t="str">
        <f>"1998-11-11"</f>
        <v>1998-11-11</v>
      </c>
      <c r="G106" s="14" t="s">
        <v>27</v>
      </c>
      <c r="H106" s="14" t="s">
        <v>28</v>
      </c>
      <c r="I106" s="14" t="s">
        <v>30</v>
      </c>
    </row>
    <row r="107" spans="1:9" s="3" customFormat="1" ht="30" customHeight="1">
      <c r="A107" s="13">
        <v>105</v>
      </c>
      <c r="B107" s="17"/>
      <c r="C107" s="14" t="s">
        <v>26</v>
      </c>
      <c r="D107" s="14" t="str">
        <f>"王海妹"</f>
        <v>王海妹</v>
      </c>
      <c r="E107" s="14" t="str">
        <f t="shared" si="16"/>
        <v>女</v>
      </c>
      <c r="F107" s="14" t="str">
        <f>"1999-09-14"</f>
        <v>1999-09-14</v>
      </c>
      <c r="G107" s="14" t="s">
        <v>27</v>
      </c>
      <c r="H107" s="14" t="s">
        <v>28</v>
      </c>
      <c r="I107" s="14" t="s">
        <v>30</v>
      </c>
    </row>
    <row r="108" spans="1:9" s="3" customFormat="1" ht="30" customHeight="1">
      <c r="A108" s="13">
        <v>106</v>
      </c>
      <c r="B108" s="17"/>
      <c r="C108" s="14" t="s">
        <v>26</v>
      </c>
      <c r="D108" s="14" t="str">
        <f>"杨蝶"</f>
        <v>杨蝶</v>
      </c>
      <c r="E108" s="14" t="str">
        <f t="shared" si="16"/>
        <v>女</v>
      </c>
      <c r="F108" s="14" t="str">
        <f>"1988-06-05"</f>
        <v>1988-06-05</v>
      </c>
      <c r="G108" s="14" t="s">
        <v>27</v>
      </c>
      <c r="H108" s="14" t="s">
        <v>28</v>
      </c>
      <c r="I108" s="14" t="s">
        <v>29</v>
      </c>
    </row>
    <row r="109" spans="1:9" s="3" customFormat="1" ht="30" customHeight="1">
      <c r="A109" s="13">
        <v>107</v>
      </c>
      <c r="B109" s="17"/>
      <c r="C109" s="14" t="s">
        <v>26</v>
      </c>
      <c r="D109" s="14" t="str">
        <f>"郭世薇"</f>
        <v>郭世薇</v>
      </c>
      <c r="E109" s="14" t="str">
        <f t="shared" si="16"/>
        <v>女</v>
      </c>
      <c r="F109" s="14" t="str">
        <f>"1999-05-13"</f>
        <v>1999-05-13</v>
      </c>
      <c r="G109" s="14" t="s">
        <v>27</v>
      </c>
      <c r="H109" s="14" t="s">
        <v>28</v>
      </c>
      <c r="I109" s="14" t="s">
        <v>30</v>
      </c>
    </row>
    <row r="110" spans="1:9" s="3" customFormat="1" ht="30" customHeight="1">
      <c r="A110" s="13">
        <v>108</v>
      </c>
      <c r="B110" s="17"/>
      <c r="C110" s="14" t="s">
        <v>26</v>
      </c>
      <c r="D110" s="14" t="str">
        <f>"覃奇艳"</f>
        <v>覃奇艳</v>
      </c>
      <c r="E110" s="14" t="str">
        <f t="shared" si="16"/>
        <v>女</v>
      </c>
      <c r="F110" s="14" t="str">
        <f>"1995-07-03"</f>
        <v>1995-07-03</v>
      </c>
      <c r="G110" s="14" t="s">
        <v>27</v>
      </c>
      <c r="H110" s="14" t="s">
        <v>32</v>
      </c>
      <c r="I110" s="14" t="s">
        <v>30</v>
      </c>
    </row>
    <row r="111" spans="1:9" s="3" customFormat="1" ht="30" customHeight="1">
      <c r="A111" s="13">
        <v>109</v>
      </c>
      <c r="B111" s="18"/>
      <c r="C111" s="14" t="s">
        <v>26</v>
      </c>
      <c r="D111" s="14" t="str">
        <f>"冯春玲"</f>
        <v>冯春玲</v>
      </c>
      <c r="E111" s="14" t="str">
        <f t="shared" si="16"/>
        <v>女</v>
      </c>
      <c r="F111" s="14" t="str">
        <f>"1989-02-20"</f>
        <v>1989-02-20</v>
      </c>
      <c r="G111" s="14" t="s">
        <v>12</v>
      </c>
      <c r="H111" s="14" t="s">
        <v>31</v>
      </c>
      <c r="I111" s="14" t="s">
        <v>30</v>
      </c>
    </row>
    <row r="112" spans="1:9" s="3" customFormat="1" ht="30" customHeight="1">
      <c r="A112" s="13">
        <v>110</v>
      </c>
      <c r="B112" s="11" t="s">
        <v>34</v>
      </c>
      <c r="C112" s="14" t="s">
        <v>35</v>
      </c>
      <c r="D112" s="14" t="str">
        <f>"黄楠楠"</f>
        <v>黄楠楠</v>
      </c>
      <c r="E112" s="14" t="str">
        <f t="shared" si="16"/>
        <v>女</v>
      </c>
      <c r="F112" s="14" t="str">
        <f>"1986-01-15"</f>
        <v>1986-01-15</v>
      </c>
      <c r="G112" s="14" t="s">
        <v>12</v>
      </c>
      <c r="H112" s="14" t="s">
        <v>16</v>
      </c>
      <c r="I112" s="14" t="s">
        <v>36</v>
      </c>
    </row>
    <row r="113" spans="1:9" s="3" customFormat="1" ht="30" customHeight="1">
      <c r="A113" s="13">
        <v>111</v>
      </c>
      <c r="B113" s="16" t="s">
        <v>37</v>
      </c>
      <c r="C113" s="14" t="s">
        <v>38</v>
      </c>
      <c r="D113" s="14" t="str">
        <f>"李超"</f>
        <v>李超</v>
      </c>
      <c r="E113" s="14" t="str">
        <f aca="true" t="shared" si="17" ref="E113:E115">"男"</f>
        <v>男</v>
      </c>
      <c r="F113" s="14" t="str">
        <f>"1991-09-06"</f>
        <v>1991-09-06</v>
      </c>
      <c r="G113" s="14" t="str">
        <f aca="true" t="shared" si="18" ref="G113:G116">"本科"</f>
        <v>本科</v>
      </c>
      <c r="H113" s="15" t="s">
        <v>39</v>
      </c>
      <c r="I113" s="14" t="str">
        <f aca="true" t="shared" si="19" ref="I113:I116">"执业医师"</f>
        <v>执业医师</v>
      </c>
    </row>
    <row r="114" spans="1:9" s="3" customFormat="1" ht="30" customHeight="1">
      <c r="A114" s="13">
        <v>112</v>
      </c>
      <c r="B114" s="17"/>
      <c r="C114" s="14" t="s">
        <v>38</v>
      </c>
      <c r="D114" s="14" t="str">
        <f>"周朝忠"</f>
        <v>周朝忠</v>
      </c>
      <c r="E114" s="14" t="str">
        <f t="shared" si="17"/>
        <v>男</v>
      </c>
      <c r="F114" s="14" t="str">
        <f>"1990-12-30"</f>
        <v>1990-12-30</v>
      </c>
      <c r="G114" s="14" t="str">
        <f>"大专"</f>
        <v>大专</v>
      </c>
      <c r="H114" s="14" t="str">
        <f aca="true" t="shared" si="20" ref="H114:H116">"中医学"</f>
        <v>中医学</v>
      </c>
      <c r="I114" s="14" t="s">
        <v>36</v>
      </c>
    </row>
    <row r="115" spans="1:9" s="3" customFormat="1" ht="30" customHeight="1">
      <c r="A115" s="13">
        <v>113</v>
      </c>
      <c r="B115" s="17"/>
      <c r="C115" s="14" t="s">
        <v>38</v>
      </c>
      <c r="D115" s="14" t="str">
        <f>"黄恒辉"</f>
        <v>黄恒辉</v>
      </c>
      <c r="E115" s="14" t="str">
        <f t="shared" si="17"/>
        <v>男</v>
      </c>
      <c r="F115" s="14" t="str">
        <f>"1989-02-20"</f>
        <v>1989-02-20</v>
      </c>
      <c r="G115" s="14" t="str">
        <f t="shared" si="18"/>
        <v>本科</v>
      </c>
      <c r="H115" s="14" t="str">
        <f t="shared" si="20"/>
        <v>中医学</v>
      </c>
      <c r="I115" s="14" t="str">
        <f t="shared" si="19"/>
        <v>执业医师</v>
      </c>
    </row>
    <row r="116" spans="1:9" s="3" customFormat="1" ht="30" customHeight="1">
      <c r="A116" s="13">
        <v>114</v>
      </c>
      <c r="B116" s="18"/>
      <c r="C116" s="14" t="s">
        <v>38</v>
      </c>
      <c r="D116" s="14" t="str">
        <f>"凌仕洪"</f>
        <v>凌仕洪</v>
      </c>
      <c r="E116" s="14" t="str">
        <f>"女"</f>
        <v>女</v>
      </c>
      <c r="F116" s="14" t="str">
        <f>"1994-12-24"</f>
        <v>1994-12-24</v>
      </c>
      <c r="G116" s="14" t="str">
        <f t="shared" si="18"/>
        <v>本科</v>
      </c>
      <c r="H116" s="14" t="str">
        <f t="shared" si="20"/>
        <v>中医学</v>
      </c>
      <c r="I116" s="14" t="str">
        <f t="shared" si="19"/>
        <v>执业医师</v>
      </c>
    </row>
    <row r="117" spans="1:9" s="3" customFormat="1" ht="30" customHeight="1">
      <c r="A117" s="13">
        <v>115</v>
      </c>
      <c r="B117" s="16" t="s">
        <v>37</v>
      </c>
      <c r="C117" s="14" t="s">
        <v>40</v>
      </c>
      <c r="D117" s="14" t="str">
        <f>"蔡腾"</f>
        <v>蔡腾</v>
      </c>
      <c r="E117" s="14" t="str">
        <f aca="true" t="shared" si="21" ref="E117:E119">"男"</f>
        <v>男</v>
      </c>
      <c r="F117" s="14" t="str">
        <f>"1995-08-17"</f>
        <v>1995-08-17</v>
      </c>
      <c r="G117" s="14" t="str">
        <f>"大专"</f>
        <v>大专</v>
      </c>
      <c r="H117" s="14" t="str">
        <f>"康复治疗技术"</f>
        <v>康复治疗技术</v>
      </c>
      <c r="I117" s="15" t="s">
        <v>41</v>
      </c>
    </row>
    <row r="118" spans="1:9" s="3" customFormat="1" ht="30" customHeight="1">
      <c r="A118" s="13">
        <v>116</v>
      </c>
      <c r="B118" s="17"/>
      <c r="C118" s="14" t="s">
        <v>40</v>
      </c>
      <c r="D118" s="14" t="str">
        <f>"黄心琚"</f>
        <v>黄心琚</v>
      </c>
      <c r="E118" s="14" t="str">
        <f t="shared" si="21"/>
        <v>男</v>
      </c>
      <c r="F118" s="14" t="str">
        <f>"1992-12-27"</f>
        <v>1992-12-27</v>
      </c>
      <c r="G118" s="14" t="s">
        <v>12</v>
      </c>
      <c r="H118" s="15" t="s">
        <v>42</v>
      </c>
      <c r="I118" s="15" t="s">
        <v>43</v>
      </c>
    </row>
    <row r="119" spans="1:9" s="3" customFormat="1" ht="30" customHeight="1">
      <c r="A119" s="13">
        <v>117</v>
      </c>
      <c r="B119" s="17"/>
      <c r="C119" s="14" t="s">
        <v>40</v>
      </c>
      <c r="D119" s="14" t="str">
        <f>"李伟超"</f>
        <v>李伟超</v>
      </c>
      <c r="E119" s="14" t="str">
        <f t="shared" si="21"/>
        <v>男</v>
      </c>
      <c r="F119" s="14" t="str">
        <f>"1994-09-22"</f>
        <v>1994-09-22</v>
      </c>
      <c r="G119" s="14" t="str">
        <f aca="true" t="shared" si="22" ref="G119:G123">"本科"</f>
        <v>本科</v>
      </c>
      <c r="H119" s="14" t="str">
        <f>"康复治疗学"</f>
        <v>康复治疗学</v>
      </c>
      <c r="I119" s="15" t="s">
        <v>41</v>
      </c>
    </row>
    <row r="120" spans="1:9" s="3" customFormat="1" ht="30" customHeight="1">
      <c r="A120" s="13">
        <v>118</v>
      </c>
      <c r="B120" s="17"/>
      <c r="C120" s="14" t="s">
        <v>40</v>
      </c>
      <c r="D120" s="14" t="str">
        <f>"黄媚媚"</f>
        <v>黄媚媚</v>
      </c>
      <c r="E120" s="14" t="str">
        <f>"女"</f>
        <v>女</v>
      </c>
      <c r="F120" s="14" t="str">
        <f>"1992-02-25"</f>
        <v>1992-02-25</v>
      </c>
      <c r="G120" s="14" t="str">
        <f aca="true" t="shared" si="23" ref="G120:G126">"大专"</f>
        <v>大专</v>
      </c>
      <c r="H120" s="14" t="str">
        <f>"康复治疗技术"</f>
        <v>康复治疗技术</v>
      </c>
      <c r="I120" s="15" t="s">
        <v>41</v>
      </c>
    </row>
    <row r="121" spans="1:9" s="3" customFormat="1" ht="30" customHeight="1">
      <c r="A121" s="13">
        <v>119</v>
      </c>
      <c r="B121" s="18"/>
      <c r="C121" s="14" t="s">
        <v>40</v>
      </c>
      <c r="D121" s="14" t="str">
        <f>"孙一帆"</f>
        <v>孙一帆</v>
      </c>
      <c r="E121" s="14" t="str">
        <f>"男"</f>
        <v>男</v>
      </c>
      <c r="F121" s="14" t="str">
        <f>"1997-07-04"</f>
        <v>1997-07-04</v>
      </c>
      <c r="G121" s="14" t="str">
        <f t="shared" si="22"/>
        <v>本科</v>
      </c>
      <c r="H121" s="14" t="str">
        <f>"康复治疗学"</f>
        <v>康复治疗学</v>
      </c>
      <c r="I121" s="15" t="s">
        <v>41</v>
      </c>
    </row>
    <row r="122" spans="1:9" s="3" customFormat="1" ht="30" customHeight="1">
      <c r="A122" s="13">
        <v>120</v>
      </c>
      <c r="B122" s="16" t="s">
        <v>37</v>
      </c>
      <c r="C122" s="14" t="s">
        <v>44</v>
      </c>
      <c r="D122" s="14" t="str">
        <f>"徐日觉"</f>
        <v>徐日觉</v>
      </c>
      <c r="E122" s="14" t="str">
        <f>"男"</f>
        <v>男</v>
      </c>
      <c r="F122" s="14" t="str">
        <f>"1995-04-15"</f>
        <v>1995-04-15</v>
      </c>
      <c r="G122" s="14" t="str">
        <f t="shared" si="22"/>
        <v>本科</v>
      </c>
      <c r="H122" s="14" t="str">
        <f aca="true" t="shared" si="24" ref="H122:H131">"药学"</f>
        <v>药学</v>
      </c>
      <c r="I122" s="15" t="s">
        <v>24</v>
      </c>
    </row>
    <row r="123" spans="1:9" s="3" customFormat="1" ht="30" customHeight="1">
      <c r="A123" s="13">
        <v>121</v>
      </c>
      <c r="B123" s="17"/>
      <c r="C123" s="14" t="s">
        <v>44</v>
      </c>
      <c r="D123" s="14" t="str">
        <f>"林琦影"</f>
        <v>林琦影</v>
      </c>
      <c r="E123" s="14" t="str">
        <f aca="true" t="shared" si="25" ref="E123:E128">"女"</f>
        <v>女</v>
      </c>
      <c r="F123" s="14" t="str">
        <f>"1997-09-09"</f>
        <v>1997-09-09</v>
      </c>
      <c r="G123" s="14" t="str">
        <f t="shared" si="22"/>
        <v>本科</v>
      </c>
      <c r="H123" s="14" t="str">
        <f t="shared" si="24"/>
        <v>药学</v>
      </c>
      <c r="I123" s="15" t="s">
        <v>23</v>
      </c>
    </row>
    <row r="124" spans="1:9" s="3" customFormat="1" ht="30" customHeight="1">
      <c r="A124" s="13">
        <v>122</v>
      </c>
      <c r="B124" s="17"/>
      <c r="C124" s="14" t="s">
        <v>44</v>
      </c>
      <c r="D124" s="14" t="str">
        <f>"陈珠英"</f>
        <v>陈珠英</v>
      </c>
      <c r="E124" s="14" t="str">
        <f t="shared" si="25"/>
        <v>女</v>
      </c>
      <c r="F124" s="14" t="str">
        <f>"1994-12-30"</f>
        <v>1994-12-30</v>
      </c>
      <c r="G124" s="14" t="str">
        <f t="shared" si="23"/>
        <v>大专</v>
      </c>
      <c r="H124" s="14" t="str">
        <f t="shared" si="24"/>
        <v>药学</v>
      </c>
      <c r="I124" s="15" t="s">
        <v>23</v>
      </c>
    </row>
    <row r="125" spans="1:9" s="3" customFormat="1" ht="30" customHeight="1">
      <c r="A125" s="13">
        <v>123</v>
      </c>
      <c r="B125" s="17"/>
      <c r="C125" s="14" t="s">
        <v>44</v>
      </c>
      <c r="D125" s="14" t="str">
        <f>"梁秋菊"</f>
        <v>梁秋菊</v>
      </c>
      <c r="E125" s="14" t="str">
        <f t="shared" si="25"/>
        <v>女</v>
      </c>
      <c r="F125" s="14" t="str">
        <f>"1990-07-10"</f>
        <v>1990-07-10</v>
      </c>
      <c r="G125" s="14" t="str">
        <f t="shared" si="23"/>
        <v>大专</v>
      </c>
      <c r="H125" s="14" t="str">
        <f t="shared" si="24"/>
        <v>药学</v>
      </c>
      <c r="I125" s="15" t="s">
        <v>24</v>
      </c>
    </row>
    <row r="126" spans="1:9" s="3" customFormat="1" ht="30" customHeight="1">
      <c r="A126" s="13">
        <v>124</v>
      </c>
      <c r="B126" s="17"/>
      <c r="C126" s="14" t="s">
        <v>44</v>
      </c>
      <c r="D126" s="14" t="str">
        <f>"吴漫"</f>
        <v>吴漫</v>
      </c>
      <c r="E126" s="14" t="str">
        <f t="shared" si="25"/>
        <v>女</v>
      </c>
      <c r="F126" s="14" t="str">
        <f>"1995-09-02"</f>
        <v>1995-09-02</v>
      </c>
      <c r="G126" s="14" t="str">
        <f t="shared" si="23"/>
        <v>大专</v>
      </c>
      <c r="H126" s="14" t="str">
        <f t="shared" si="24"/>
        <v>药学</v>
      </c>
      <c r="I126" s="15" t="s">
        <v>23</v>
      </c>
    </row>
    <row r="127" spans="1:9" s="3" customFormat="1" ht="30" customHeight="1">
      <c r="A127" s="13">
        <v>125</v>
      </c>
      <c r="B127" s="17"/>
      <c r="C127" s="14" t="s">
        <v>44</v>
      </c>
      <c r="D127" s="14" t="str">
        <f>"黄欣"</f>
        <v>黄欣</v>
      </c>
      <c r="E127" s="14" t="str">
        <f t="shared" si="25"/>
        <v>女</v>
      </c>
      <c r="F127" s="14" t="str">
        <f>"1997-05-31"</f>
        <v>1997-05-31</v>
      </c>
      <c r="G127" s="14" t="str">
        <f>"本科"</f>
        <v>本科</v>
      </c>
      <c r="H127" s="14" t="str">
        <f t="shared" si="24"/>
        <v>药学</v>
      </c>
      <c r="I127" s="15" t="s">
        <v>23</v>
      </c>
    </row>
    <row r="128" spans="1:9" s="3" customFormat="1" ht="30" customHeight="1">
      <c r="A128" s="13">
        <v>126</v>
      </c>
      <c r="B128" s="17"/>
      <c r="C128" s="14" t="s">
        <v>44</v>
      </c>
      <c r="D128" s="14" t="str">
        <f>"文惠琼"</f>
        <v>文惠琼</v>
      </c>
      <c r="E128" s="14" t="str">
        <f t="shared" si="25"/>
        <v>女</v>
      </c>
      <c r="F128" s="14" t="str">
        <f>"1992-04-18"</f>
        <v>1992-04-18</v>
      </c>
      <c r="G128" s="14" t="s">
        <v>12</v>
      </c>
      <c r="H128" s="14" t="str">
        <f t="shared" si="24"/>
        <v>药学</v>
      </c>
      <c r="I128" s="15" t="s">
        <v>24</v>
      </c>
    </row>
    <row r="129" spans="1:9" s="3" customFormat="1" ht="30" customHeight="1">
      <c r="A129" s="13">
        <v>127</v>
      </c>
      <c r="B129" s="17"/>
      <c r="C129" s="14" t="s">
        <v>44</v>
      </c>
      <c r="D129" s="14" t="str">
        <f>"黄景"</f>
        <v>黄景</v>
      </c>
      <c r="E129" s="14" t="str">
        <f>"男"</f>
        <v>男</v>
      </c>
      <c r="F129" s="14" t="str">
        <f>"1988-11-03"</f>
        <v>1988-11-03</v>
      </c>
      <c r="G129" s="14" t="s">
        <v>12</v>
      </c>
      <c r="H129" s="14" t="str">
        <f t="shared" si="24"/>
        <v>药学</v>
      </c>
      <c r="I129" s="15" t="s">
        <v>23</v>
      </c>
    </row>
    <row r="130" spans="1:9" s="3" customFormat="1" ht="30" customHeight="1">
      <c r="A130" s="13">
        <v>128</v>
      </c>
      <c r="B130" s="17"/>
      <c r="C130" s="14" t="s">
        <v>44</v>
      </c>
      <c r="D130" s="14" t="str">
        <f>"符海霞"</f>
        <v>符海霞</v>
      </c>
      <c r="E130" s="14" t="str">
        <f>"女"</f>
        <v>女</v>
      </c>
      <c r="F130" s="14" t="str">
        <f>"1989-08-08"</f>
        <v>1989-08-08</v>
      </c>
      <c r="G130" s="14" t="s">
        <v>12</v>
      </c>
      <c r="H130" s="14" t="str">
        <f t="shared" si="24"/>
        <v>药学</v>
      </c>
      <c r="I130" s="15" t="s">
        <v>24</v>
      </c>
    </row>
    <row r="131" spans="1:9" s="3" customFormat="1" ht="30" customHeight="1">
      <c r="A131" s="13">
        <v>129</v>
      </c>
      <c r="B131" s="18"/>
      <c r="C131" s="14" t="s">
        <v>44</v>
      </c>
      <c r="D131" s="14" t="str">
        <f>"陈则铭"</f>
        <v>陈则铭</v>
      </c>
      <c r="E131" s="14" t="str">
        <f>"男"</f>
        <v>男</v>
      </c>
      <c r="F131" s="14" t="str">
        <f>"1995-11-28"</f>
        <v>1995-11-28</v>
      </c>
      <c r="G131" s="14" t="str">
        <f>"大专"</f>
        <v>大专</v>
      </c>
      <c r="H131" s="14" t="str">
        <f t="shared" si="24"/>
        <v>药学</v>
      </c>
      <c r="I131" s="15" t="s">
        <v>23</v>
      </c>
    </row>
    <row r="132" spans="1:9" s="3" customFormat="1" ht="30" customHeight="1">
      <c r="A132" s="13">
        <v>130</v>
      </c>
      <c r="B132" s="16" t="s">
        <v>37</v>
      </c>
      <c r="C132" s="14" t="s">
        <v>45</v>
      </c>
      <c r="D132" s="14" t="str">
        <f>"何池"</f>
        <v>何池</v>
      </c>
      <c r="E132" s="14" t="str">
        <f aca="true" t="shared" si="26" ref="E132:E142">"女"</f>
        <v>女</v>
      </c>
      <c r="F132" s="14" t="str">
        <f>"1996-01-02"</f>
        <v>1996-01-02</v>
      </c>
      <c r="G132" s="14" t="s">
        <v>27</v>
      </c>
      <c r="H132" s="14" t="s">
        <v>28</v>
      </c>
      <c r="I132" s="14" t="s">
        <v>29</v>
      </c>
    </row>
    <row r="133" spans="1:9" s="3" customFormat="1" ht="30" customHeight="1">
      <c r="A133" s="13">
        <v>131</v>
      </c>
      <c r="B133" s="17"/>
      <c r="C133" s="14" t="s">
        <v>45</v>
      </c>
      <c r="D133" s="14" t="str">
        <f>"郑英园"</f>
        <v>郑英园</v>
      </c>
      <c r="E133" s="14" t="str">
        <f t="shared" si="26"/>
        <v>女</v>
      </c>
      <c r="F133" s="14" t="str">
        <f>"1994-08-14"</f>
        <v>1994-08-14</v>
      </c>
      <c r="G133" s="14" t="s">
        <v>12</v>
      </c>
      <c r="H133" s="14" t="s">
        <v>28</v>
      </c>
      <c r="I133" s="14" t="s">
        <v>29</v>
      </c>
    </row>
    <row r="134" spans="1:9" s="3" customFormat="1" ht="30" customHeight="1">
      <c r="A134" s="13">
        <v>132</v>
      </c>
      <c r="B134" s="17"/>
      <c r="C134" s="14" t="s">
        <v>45</v>
      </c>
      <c r="D134" s="14" t="str">
        <f>"辜曲随"</f>
        <v>辜曲随</v>
      </c>
      <c r="E134" s="14" t="str">
        <f t="shared" si="26"/>
        <v>女</v>
      </c>
      <c r="F134" s="14" t="str">
        <f>"1992-06-02"</f>
        <v>1992-06-02</v>
      </c>
      <c r="G134" s="14" t="s">
        <v>27</v>
      </c>
      <c r="H134" s="14" t="s">
        <v>28</v>
      </c>
      <c r="I134" s="14" t="s">
        <v>30</v>
      </c>
    </row>
    <row r="135" spans="1:9" s="3" customFormat="1" ht="30" customHeight="1">
      <c r="A135" s="13">
        <v>133</v>
      </c>
      <c r="B135" s="17"/>
      <c r="C135" s="14" t="s">
        <v>45</v>
      </c>
      <c r="D135" s="14" t="str">
        <f>"胡小霞"</f>
        <v>胡小霞</v>
      </c>
      <c r="E135" s="14" t="str">
        <f t="shared" si="26"/>
        <v>女</v>
      </c>
      <c r="F135" s="14" t="str">
        <f>"1991-08-25"</f>
        <v>1991-08-25</v>
      </c>
      <c r="G135" s="14" t="s">
        <v>12</v>
      </c>
      <c r="H135" s="14" t="s">
        <v>31</v>
      </c>
      <c r="I135" s="14" t="s">
        <v>30</v>
      </c>
    </row>
    <row r="136" spans="1:9" s="3" customFormat="1" ht="30" customHeight="1">
      <c r="A136" s="13">
        <v>134</v>
      </c>
      <c r="B136" s="17"/>
      <c r="C136" s="14" t="s">
        <v>45</v>
      </c>
      <c r="D136" s="14" t="str">
        <f>"邢慧琳"</f>
        <v>邢慧琳</v>
      </c>
      <c r="E136" s="14" t="str">
        <f t="shared" si="26"/>
        <v>女</v>
      </c>
      <c r="F136" s="14" t="str">
        <f>"1998-07-24"</f>
        <v>1998-07-24</v>
      </c>
      <c r="G136" s="14" t="s">
        <v>12</v>
      </c>
      <c r="H136" s="14" t="s">
        <v>31</v>
      </c>
      <c r="I136" s="14" t="s">
        <v>30</v>
      </c>
    </row>
    <row r="137" spans="1:9" s="3" customFormat="1" ht="30" customHeight="1">
      <c r="A137" s="13">
        <v>135</v>
      </c>
      <c r="B137" s="17"/>
      <c r="C137" s="14" t="s">
        <v>45</v>
      </c>
      <c r="D137" s="14" t="str">
        <f>"吴建丽"</f>
        <v>吴建丽</v>
      </c>
      <c r="E137" s="14" t="str">
        <f t="shared" si="26"/>
        <v>女</v>
      </c>
      <c r="F137" s="14" t="str">
        <f>"1989-06-07"</f>
        <v>1989-06-07</v>
      </c>
      <c r="G137" s="14" t="s">
        <v>27</v>
      </c>
      <c r="H137" s="14" t="s">
        <v>28</v>
      </c>
      <c r="I137" s="14" t="s">
        <v>29</v>
      </c>
    </row>
    <row r="138" spans="1:9" s="3" customFormat="1" ht="30" customHeight="1">
      <c r="A138" s="13">
        <v>136</v>
      </c>
      <c r="B138" s="17"/>
      <c r="C138" s="14" t="s">
        <v>45</v>
      </c>
      <c r="D138" s="14" t="str">
        <f>"林瑞莲"</f>
        <v>林瑞莲</v>
      </c>
      <c r="E138" s="14" t="str">
        <f t="shared" si="26"/>
        <v>女</v>
      </c>
      <c r="F138" s="14" t="str">
        <f>"1995-08-31"</f>
        <v>1995-08-31</v>
      </c>
      <c r="G138" s="14" t="s">
        <v>27</v>
      </c>
      <c r="H138" s="14" t="s">
        <v>28</v>
      </c>
      <c r="I138" s="14" t="s">
        <v>29</v>
      </c>
    </row>
    <row r="139" spans="1:9" s="3" customFormat="1" ht="30" customHeight="1">
      <c r="A139" s="13">
        <v>137</v>
      </c>
      <c r="B139" s="17"/>
      <c r="C139" s="14" t="s">
        <v>45</v>
      </c>
      <c r="D139" s="14" t="str">
        <f>"符忖鹏"</f>
        <v>符忖鹏</v>
      </c>
      <c r="E139" s="14" t="str">
        <f t="shared" si="26"/>
        <v>女</v>
      </c>
      <c r="F139" s="14" t="str">
        <f>"1988-01-25"</f>
        <v>1988-01-25</v>
      </c>
      <c r="G139" s="14" t="s">
        <v>12</v>
      </c>
      <c r="H139" s="14" t="s">
        <v>31</v>
      </c>
      <c r="I139" s="14" t="s">
        <v>29</v>
      </c>
    </row>
    <row r="140" spans="1:9" s="3" customFormat="1" ht="30" customHeight="1">
      <c r="A140" s="13">
        <v>138</v>
      </c>
      <c r="B140" s="17"/>
      <c r="C140" s="14" t="s">
        <v>45</v>
      </c>
      <c r="D140" s="14" t="str">
        <f>"符云霞"</f>
        <v>符云霞</v>
      </c>
      <c r="E140" s="14" t="str">
        <f t="shared" si="26"/>
        <v>女</v>
      </c>
      <c r="F140" s="14" t="str">
        <f>"1990-01-08"</f>
        <v>1990-01-08</v>
      </c>
      <c r="G140" s="14" t="s">
        <v>12</v>
      </c>
      <c r="H140" s="14" t="s">
        <v>31</v>
      </c>
      <c r="I140" s="14" t="s">
        <v>46</v>
      </c>
    </row>
    <row r="141" spans="1:9" s="3" customFormat="1" ht="30" customHeight="1">
      <c r="A141" s="13">
        <v>139</v>
      </c>
      <c r="B141" s="17"/>
      <c r="C141" s="14" t="s">
        <v>45</v>
      </c>
      <c r="D141" s="14" t="str">
        <f>"高童"</f>
        <v>高童</v>
      </c>
      <c r="E141" s="14" t="str">
        <f t="shared" si="26"/>
        <v>女</v>
      </c>
      <c r="F141" s="14" t="str">
        <f>"1997-02-25"</f>
        <v>1997-02-25</v>
      </c>
      <c r="G141" s="14" t="s">
        <v>27</v>
      </c>
      <c r="H141" s="14" t="s">
        <v>28</v>
      </c>
      <c r="I141" s="14" t="s">
        <v>30</v>
      </c>
    </row>
    <row r="142" spans="1:9" s="3" customFormat="1" ht="30" customHeight="1">
      <c r="A142" s="13">
        <v>140</v>
      </c>
      <c r="B142" s="17"/>
      <c r="C142" s="14" t="s">
        <v>45</v>
      </c>
      <c r="D142" s="14" t="str">
        <f>"廖少莲"</f>
        <v>廖少莲</v>
      </c>
      <c r="E142" s="14" t="str">
        <f t="shared" si="26"/>
        <v>女</v>
      </c>
      <c r="F142" s="14" t="str">
        <f>"1997-02-05"</f>
        <v>1997-02-05</v>
      </c>
      <c r="G142" s="14" t="s">
        <v>27</v>
      </c>
      <c r="H142" s="14" t="s">
        <v>28</v>
      </c>
      <c r="I142" s="14" t="s">
        <v>30</v>
      </c>
    </row>
    <row r="143" spans="1:9" s="3" customFormat="1" ht="30" customHeight="1">
      <c r="A143" s="13">
        <v>141</v>
      </c>
      <c r="B143" s="17"/>
      <c r="C143" s="14" t="s">
        <v>45</v>
      </c>
      <c r="D143" s="14" t="str">
        <f>"庞帅"</f>
        <v>庞帅</v>
      </c>
      <c r="E143" s="14" t="str">
        <f>"男"</f>
        <v>男</v>
      </c>
      <c r="F143" s="14" t="str">
        <f>"1994-07-10"</f>
        <v>1994-07-10</v>
      </c>
      <c r="G143" s="14" t="s">
        <v>27</v>
      </c>
      <c r="H143" s="14" t="s">
        <v>28</v>
      </c>
      <c r="I143" s="14" t="s">
        <v>29</v>
      </c>
    </row>
    <row r="144" spans="1:9" s="3" customFormat="1" ht="30" customHeight="1">
      <c r="A144" s="13">
        <v>142</v>
      </c>
      <c r="B144" s="17"/>
      <c r="C144" s="14" t="s">
        <v>45</v>
      </c>
      <c r="D144" s="14" t="str">
        <f>"陈霞"</f>
        <v>陈霞</v>
      </c>
      <c r="E144" s="14" t="str">
        <f aca="true" t="shared" si="27" ref="E144:E207">"女"</f>
        <v>女</v>
      </c>
      <c r="F144" s="14" t="str">
        <f>"1990-07-29"</f>
        <v>1990-07-29</v>
      </c>
      <c r="G144" s="14" t="s">
        <v>27</v>
      </c>
      <c r="H144" s="14" t="s">
        <v>28</v>
      </c>
      <c r="I144" s="14" t="s">
        <v>30</v>
      </c>
    </row>
    <row r="145" spans="1:9" s="3" customFormat="1" ht="30" customHeight="1">
      <c r="A145" s="13">
        <v>143</v>
      </c>
      <c r="B145" s="17"/>
      <c r="C145" s="14" t="s">
        <v>45</v>
      </c>
      <c r="D145" s="14" t="str">
        <f>"黄晓双"</f>
        <v>黄晓双</v>
      </c>
      <c r="E145" s="14" t="str">
        <f t="shared" si="27"/>
        <v>女</v>
      </c>
      <c r="F145" s="14" t="str">
        <f>"1991-09-10"</f>
        <v>1991-09-10</v>
      </c>
      <c r="G145" s="14" t="s">
        <v>12</v>
      </c>
      <c r="H145" s="14" t="s">
        <v>31</v>
      </c>
      <c r="I145" s="14" t="s">
        <v>29</v>
      </c>
    </row>
    <row r="146" spans="1:9" s="3" customFormat="1" ht="30" customHeight="1">
      <c r="A146" s="13">
        <v>144</v>
      </c>
      <c r="B146" s="17"/>
      <c r="C146" s="14" t="s">
        <v>45</v>
      </c>
      <c r="D146" s="14" t="str">
        <f>"黄蕊"</f>
        <v>黄蕊</v>
      </c>
      <c r="E146" s="14" t="str">
        <f t="shared" si="27"/>
        <v>女</v>
      </c>
      <c r="F146" s="14" t="str">
        <f>"1998-11-24"</f>
        <v>1998-11-24</v>
      </c>
      <c r="G146" s="14" t="s">
        <v>27</v>
      </c>
      <c r="H146" s="14" t="s">
        <v>28</v>
      </c>
      <c r="I146" s="14" t="s">
        <v>30</v>
      </c>
    </row>
    <row r="147" spans="1:9" s="3" customFormat="1" ht="30" customHeight="1">
      <c r="A147" s="13">
        <v>145</v>
      </c>
      <c r="B147" s="17"/>
      <c r="C147" s="14" t="s">
        <v>45</v>
      </c>
      <c r="D147" s="14" t="str">
        <f>"陈曦"</f>
        <v>陈曦</v>
      </c>
      <c r="E147" s="14" t="str">
        <f t="shared" si="27"/>
        <v>女</v>
      </c>
      <c r="F147" s="14" t="str">
        <f>"1994-09-07"</f>
        <v>1994-09-07</v>
      </c>
      <c r="G147" s="14" t="s">
        <v>27</v>
      </c>
      <c r="H147" s="14" t="s">
        <v>28</v>
      </c>
      <c r="I147" s="14" t="s">
        <v>29</v>
      </c>
    </row>
    <row r="148" spans="1:9" s="3" customFormat="1" ht="30" customHeight="1">
      <c r="A148" s="13">
        <v>146</v>
      </c>
      <c r="B148" s="17"/>
      <c r="C148" s="14" t="s">
        <v>45</v>
      </c>
      <c r="D148" s="14" t="str">
        <f>"刘霄丽"</f>
        <v>刘霄丽</v>
      </c>
      <c r="E148" s="14" t="str">
        <f t="shared" si="27"/>
        <v>女</v>
      </c>
      <c r="F148" s="14" t="str">
        <f>"1990-05-28"</f>
        <v>1990-05-28</v>
      </c>
      <c r="G148" s="14" t="s">
        <v>27</v>
      </c>
      <c r="H148" s="14" t="s">
        <v>28</v>
      </c>
      <c r="I148" s="14" t="s">
        <v>30</v>
      </c>
    </row>
    <row r="149" spans="1:9" s="3" customFormat="1" ht="30" customHeight="1">
      <c r="A149" s="13">
        <v>147</v>
      </c>
      <c r="B149" s="17"/>
      <c r="C149" s="14" t="s">
        <v>45</v>
      </c>
      <c r="D149" s="14" t="str">
        <f>"吉晓璐"</f>
        <v>吉晓璐</v>
      </c>
      <c r="E149" s="14" t="str">
        <f t="shared" si="27"/>
        <v>女</v>
      </c>
      <c r="F149" s="14" t="str">
        <f>"1996-04-06"</f>
        <v>1996-04-06</v>
      </c>
      <c r="G149" s="14" t="s">
        <v>12</v>
      </c>
      <c r="H149" s="14" t="s">
        <v>31</v>
      </c>
      <c r="I149" s="14" t="s">
        <v>30</v>
      </c>
    </row>
    <row r="150" spans="1:9" s="3" customFormat="1" ht="30" customHeight="1">
      <c r="A150" s="13">
        <v>148</v>
      </c>
      <c r="B150" s="17"/>
      <c r="C150" s="14" t="s">
        <v>45</v>
      </c>
      <c r="D150" s="14" t="str">
        <f>"黄秋云"</f>
        <v>黄秋云</v>
      </c>
      <c r="E150" s="14" t="str">
        <f t="shared" si="27"/>
        <v>女</v>
      </c>
      <c r="F150" s="14" t="str">
        <f>"1988-05-01"</f>
        <v>1988-05-01</v>
      </c>
      <c r="G150" s="14" t="s">
        <v>12</v>
      </c>
      <c r="H150" s="14" t="s">
        <v>31</v>
      </c>
      <c r="I150" s="14" t="s">
        <v>29</v>
      </c>
    </row>
    <row r="151" spans="1:9" s="3" customFormat="1" ht="30" customHeight="1">
      <c r="A151" s="13">
        <v>149</v>
      </c>
      <c r="B151" s="17"/>
      <c r="C151" s="14" t="s">
        <v>45</v>
      </c>
      <c r="D151" s="14" t="str">
        <f>"董柳花"</f>
        <v>董柳花</v>
      </c>
      <c r="E151" s="14" t="str">
        <f t="shared" si="27"/>
        <v>女</v>
      </c>
      <c r="F151" s="14" t="str">
        <f>"1990-09-12"</f>
        <v>1990-09-12</v>
      </c>
      <c r="G151" s="14" t="s">
        <v>12</v>
      </c>
      <c r="H151" s="14" t="s">
        <v>31</v>
      </c>
      <c r="I151" s="14" t="s">
        <v>29</v>
      </c>
    </row>
    <row r="152" spans="1:9" s="3" customFormat="1" ht="30" customHeight="1">
      <c r="A152" s="13">
        <v>150</v>
      </c>
      <c r="B152" s="17"/>
      <c r="C152" s="14" t="s">
        <v>45</v>
      </c>
      <c r="D152" s="14" t="str">
        <f>"吴焕丹"</f>
        <v>吴焕丹</v>
      </c>
      <c r="E152" s="14" t="str">
        <f t="shared" si="27"/>
        <v>女</v>
      </c>
      <c r="F152" s="14" t="str">
        <f>"1988-10-06"</f>
        <v>1988-10-06</v>
      </c>
      <c r="G152" s="14" t="s">
        <v>12</v>
      </c>
      <c r="H152" s="14" t="s">
        <v>31</v>
      </c>
      <c r="I152" s="14" t="s">
        <v>29</v>
      </c>
    </row>
    <row r="153" spans="1:9" s="3" customFormat="1" ht="30" customHeight="1">
      <c r="A153" s="13">
        <v>151</v>
      </c>
      <c r="B153" s="17"/>
      <c r="C153" s="14" t="s">
        <v>45</v>
      </c>
      <c r="D153" s="14" t="str">
        <f>"黄丽华"</f>
        <v>黄丽华</v>
      </c>
      <c r="E153" s="14" t="str">
        <f t="shared" si="27"/>
        <v>女</v>
      </c>
      <c r="F153" s="14" t="str">
        <f>"1996-05-17"</f>
        <v>1996-05-17</v>
      </c>
      <c r="G153" s="14" t="s">
        <v>27</v>
      </c>
      <c r="H153" s="14" t="s">
        <v>28</v>
      </c>
      <c r="I153" s="14" t="s">
        <v>30</v>
      </c>
    </row>
    <row r="154" spans="1:9" s="3" customFormat="1" ht="30" customHeight="1">
      <c r="A154" s="13">
        <v>152</v>
      </c>
      <c r="B154" s="17"/>
      <c r="C154" s="14" t="s">
        <v>45</v>
      </c>
      <c r="D154" s="14" t="str">
        <f>"钟新宇"</f>
        <v>钟新宇</v>
      </c>
      <c r="E154" s="14" t="str">
        <f t="shared" si="27"/>
        <v>女</v>
      </c>
      <c r="F154" s="14" t="str">
        <f>"1999-03-10"</f>
        <v>1999-03-10</v>
      </c>
      <c r="G154" s="14" t="s">
        <v>27</v>
      </c>
      <c r="H154" s="14" t="s">
        <v>28</v>
      </c>
      <c r="I154" s="14" t="s">
        <v>30</v>
      </c>
    </row>
    <row r="155" spans="1:9" s="3" customFormat="1" ht="30" customHeight="1">
      <c r="A155" s="13">
        <v>153</v>
      </c>
      <c r="B155" s="17"/>
      <c r="C155" s="14" t="s">
        <v>45</v>
      </c>
      <c r="D155" s="14" t="str">
        <f>"何善萍"</f>
        <v>何善萍</v>
      </c>
      <c r="E155" s="14" t="str">
        <f t="shared" si="27"/>
        <v>女</v>
      </c>
      <c r="F155" s="14" t="str">
        <f>"1998-11-14"</f>
        <v>1998-11-14</v>
      </c>
      <c r="G155" s="14" t="s">
        <v>27</v>
      </c>
      <c r="H155" s="14" t="s">
        <v>28</v>
      </c>
      <c r="I155" s="14" t="s">
        <v>30</v>
      </c>
    </row>
    <row r="156" spans="1:9" s="3" customFormat="1" ht="30" customHeight="1">
      <c r="A156" s="13">
        <v>154</v>
      </c>
      <c r="B156" s="17"/>
      <c r="C156" s="14" t="s">
        <v>45</v>
      </c>
      <c r="D156" s="14" t="str">
        <f>"蔡冬慧"</f>
        <v>蔡冬慧</v>
      </c>
      <c r="E156" s="14" t="str">
        <f t="shared" si="27"/>
        <v>女</v>
      </c>
      <c r="F156" s="14" t="str">
        <f>"1997-10-05"</f>
        <v>1997-10-05</v>
      </c>
      <c r="G156" s="14" t="s">
        <v>27</v>
      </c>
      <c r="H156" s="14" t="s">
        <v>32</v>
      </c>
      <c r="I156" s="14" t="s">
        <v>30</v>
      </c>
    </row>
    <row r="157" spans="1:9" s="3" customFormat="1" ht="30" customHeight="1">
      <c r="A157" s="13">
        <v>155</v>
      </c>
      <c r="B157" s="17"/>
      <c r="C157" s="14" t="s">
        <v>45</v>
      </c>
      <c r="D157" s="14" t="str">
        <f>"陈燕霞"</f>
        <v>陈燕霞</v>
      </c>
      <c r="E157" s="14" t="str">
        <f t="shared" si="27"/>
        <v>女</v>
      </c>
      <c r="F157" s="14" t="str">
        <f>"1997-12-03"</f>
        <v>1997-12-03</v>
      </c>
      <c r="G157" s="14" t="s">
        <v>27</v>
      </c>
      <c r="H157" s="14" t="s">
        <v>28</v>
      </c>
      <c r="I157" s="14" t="s">
        <v>30</v>
      </c>
    </row>
    <row r="158" spans="1:9" s="3" customFormat="1" ht="30" customHeight="1">
      <c r="A158" s="13">
        <v>156</v>
      </c>
      <c r="B158" s="17"/>
      <c r="C158" s="14" t="s">
        <v>45</v>
      </c>
      <c r="D158" s="14" t="str">
        <f>"陈明春"</f>
        <v>陈明春</v>
      </c>
      <c r="E158" s="14" t="str">
        <f t="shared" si="27"/>
        <v>女</v>
      </c>
      <c r="F158" s="14" t="str">
        <f>"1992-01-05"</f>
        <v>1992-01-05</v>
      </c>
      <c r="G158" s="14" t="s">
        <v>12</v>
      </c>
      <c r="H158" s="14" t="s">
        <v>31</v>
      </c>
      <c r="I158" s="14" t="s">
        <v>30</v>
      </c>
    </row>
    <row r="159" spans="1:9" s="3" customFormat="1" ht="30" customHeight="1">
      <c r="A159" s="13">
        <v>157</v>
      </c>
      <c r="B159" s="17"/>
      <c r="C159" s="14" t="s">
        <v>45</v>
      </c>
      <c r="D159" s="14" t="str">
        <f>"王姝丹"</f>
        <v>王姝丹</v>
      </c>
      <c r="E159" s="14" t="str">
        <f t="shared" si="27"/>
        <v>女</v>
      </c>
      <c r="F159" s="14" t="str">
        <f>"1990-06-20"</f>
        <v>1990-06-20</v>
      </c>
      <c r="G159" s="14" t="s">
        <v>12</v>
      </c>
      <c r="H159" s="14" t="s">
        <v>31</v>
      </c>
      <c r="I159" s="14" t="s">
        <v>29</v>
      </c>
    </row>
    <row r="160" spans="1:9" s="3" customFormat="1" ht="30" customHeight="1">
      <c r="A160" s="13">
        <v>158</v>
      </c>
      <c r="B160" s="17"/>
      <c r="C160" s="14" t="s">
        <v>45</v>
      </c>
      <c r="D160" s="14" t="str">
        <f>"朱莲莲"</f>
        <v>朱莲莲</v>
      </c>
      <c r="E160" s="14" t="str">
        <f t="shared" si="27"/>
        <v>女</v>
      </c>
      <c r="F160" s="14" t="str">
        <f>"1996-04-26"</f>
        <v>1996-04-26</v>
      </c>
      <c r="G160" s="14" t="s">
        <v>27</v>
      </c>
      <c r="H160" s="14" t="s">
        <v>28</v>
      </c>
      <c r="I160" s="14" t="s">
        <v>30</v>
      </c>
    </row>
    <row r="161" spans="1:9" s="3" customFormat="1" ht="30" customHeight="1">
      <c r="A161" s="13">
        <v>159</v>
      </c>
      <c r="B161" s="17"/>
      <c r="C161" s="14" t="s">
        <v>45</v>
      </c>
      <c r="D161" s="14" t="str">
        <f>"董姣姣"</f>
        <v>董姣姣</v>
      </c>
      <c r="E161" s="14" t="str">
        <f t="shared" si="27"/>
        <v>女</v>
      </c>
      <c r="F161" s="14" t="str">
        <f>"1993-08-28"</f>
        <v>1993-08-28</v>
      </c>
      <c r="G161" s="14" t="s">
        <v>12</v>
      </c>
      <c r="H161" s="14" t="s">
        <v>31</v>
      </c>
      <c r="I161" s="14" t="s">
        <v>29</v>
      </c>
    </row>
    <row r="162" spans="1:9" s="3" customFormat="1" ht="30" customHeight="1">
      <c r="A162" s="13">
        <v>160</v>
      </c>
      <c r="B162" s="17"/>
      <c r="C162" s="14" t="s">
        <v>45</v>
      </c>
      <c r="D162" s="14" t="str">
        <f>"王扬慧"</f>
        <v>王扬慧</v>
      </c>
      <c r="E162" s="14" t="str">
        <f t="shared" si="27"/>
        <v>女</v>
      </c>
      <c r="F162" s="14" t="str">
        <f>"1990-12-17"</f>
        <v>1990-12-17</v>
      </c>
      <c r="G162" s="14" t="s">
        <v>12</v>
      </c>
      <c r="H162" s="14" t="s">
        <v>31</v>
      </c>
      <c r="I162" s="14" t="s">
        <v>30</v>
      </c>
    </row>
    <row r="163" spans="1:9" s="3" customFormat="1" ht="30" customHeight="1">
      <c r="A163" s="13">
        <v>161</v>
      </c>
      <c r="B163" s="17"/>
      <c r="C163" s="14" t="s">
        <v>45</v>
      </c>
      <c r="D163" s="14" t="str">
        <f>"云天蕃"</f>
        <v>云天蕃</v>
      </c>
      <c r="E163" s="14" t="str">
        <f t="shared" si="27"/>
        <v>女</v>
      </c>
      <c r="F163" s="14" t="str">
        <f>"1993-02-15"</f>
        <v>1993-02-15</v>
      </c>
      <c r="G163" s="14" t="s">
        <v>12</v>
      </c>
      <c r="H163" s="14" t="s">
        <v>31</v>
      </c>
      <c r="I163" s="14" t="s">
        <v>29</v>
      </c>
    </row>
    <row r="164" spans="1:9" s="3" customFormat="1" ht="30" customHeight="1">
      <c r="A164" s="13">
        <v>162</v>
      </c>
      <c r="B164" s="17"/>
      <c r="C164" s="14" t="s">
        <v>45</v>
      </c>
      <c r="D164" s="14" t="str">
        <f>"黄晓翠"</f>
        <v>黄晓翠</v>
      </c>
      <c r="E164" s="14" t="str">
        <f t="shared" si="27"/>
        <v>女</v>
      </c>
      <c r="F164" s="14" t="str">
        <f>"1996-05-25"</f>
        <v>1996-05-25</v>
      </c>
      <c r="G164" s="14" t="s">
        <v>27</v>
      </c>
      <c r="H164" s="14" t="s">
        <v>28</v>
      </c>
      <c r="I164" s="14" t="s">
        <v>30</v>
      </c>
    </row>
    <row r="165" spans="1:9" s="3" customFormat="1" ht="30" customHeight="1">
      <c r="A165" s="13">
        <v>163</v>
      </c>
      <c r="B165" s="17"/>
      <c r="C165" s="14" t="s">
        <v>45</v>
      </c>
      <c r="D165" s="14" t="str">
        <f>"龚佳信"</f>
        <v>龚佳信</v>
      </c>
      <c r="E165" s="14" t="str">
        <f t="shared" si="27"/>
        <v>女</v>
      </c>
      <c r="F165" s="14" t="str">
        <f>"1998-01-20"</f>
        <v>1998-01-20</v>
      </c>
      <c r="G165" s="14" t="s">
        <v>27</v>
      </c>
      <c r="H165" s="14" t="s">
        <v>28</v>
      </c>
      <c r="I165" s="14" t="s">
        <v>30</v>
      </c>
    </row>
    <row r="166" spans="1:9" s="3" customFormat="1" ht="30" customHeight="1">
      <c r="A166" s="13">
        <v>164</v>
      </c>
      <c r="B166" s="17"/>
      <c r="C166" s="14" t="s">
        <v>45</v>
      </c>
      <c r="D166" s="14" t="str">
        <f>"林文英"</f>
        <v>林文英</v>
      </c>
      <c r="E166" s="14" t="str">
        <f t="shared" si="27"/>
        <v>女</v>
      </c>
      <c r="F166" s="14" t="str">
        <f>"1993-06-27"</f>
        <v>1993-06-27</v>
      </c>
      <c r="G166" s="14" t="s">
        <v>27</v>
      </c>
      <c r="H166" s="14" t="s">
        <v>32</v>
      </c>
      <c r="I166" s="14" t="s">
        <v>30</v>
      </c>
    </row>
    <row r="167" spans="1:9" s="3" customFormat="1" ht="30" customHeight="1">
      <c r="A167" s="13">
        <v>165</v>
      </c>
      <c r="B167" s="17"/>
      <c r="C167" s="14" t="s">
        <v>45</v>
      </c>
      <c r="D167" s="14" t="str">
        <f>"王冬雪"</f>
        <v>王冬雪</v>
      </c>
      <c r="E167" s="14" t="str">
        <f t="shared" si="27"/>
        <v>女</v>
      </c>
      <c r="F167" s="14" t="str">
        <f>"1989-09-27"</f>
        <v>1989-09-27</v>
      </c>
      <c r="G167" s="14" t="s">
        <v>12</v>
      </c>
      <c r="H167" s="14" t="s">
        <v>31</v>
      </c>
      <c r="I167" s="14" t="s">
        <v>29</v>
      </c>
    </row>
    <row r="168" spans="1:9" s="3" customFormat="1" ht="30" customHeight="1">
      <c r="A168" s="13">
        <v>166</v>
      </c>
      <c r="B168" s="17"/>
      <c r="C168" s="14" t="s">
        <v>45</v>
      </c>
      <c r="D168" s="14" t="str">
        <f>"李红"</f>
        <v>李红</v>
      </c>
      <c r="E168" s="14" t="str">
        <f t="shared" si="27"/>
        <v>女</v>
      </c>
      <c r="F168" s="14" t="str">
        <f>"1993-11-29"</f>
        <v>1993-11-29</v>
      </c>
      <c r="G168" s="14" t="s">
        <v>27</v>
      </c>
      <c r="H168" s="14" t="s">
        <v>28</v>
      </c>
      <c r="I168" s="14" t="s">
        <v>30</v>
      </c>
    </row>
    <row r="169" spans="1:9" s="3" customFormat="1" ht="30" customHeight="1">
      <c r="A169" s="13">
        <v>167</v>
      </c>
      <c r="B169" s="17"/>
      <c r="C169" s="14" t="s">
        <v>45</v>
      </c>
      <c r="D169" s="14" t="str">
        <f>"沈莹"</f>
        <v>沈莹</v>
      </c>
      <c r="E169" s="14" t="str">
        <f t="shared" si="27"/>
        <v>女</v>
      </c>
      <c r="F169" s="14" t="str">
        <f>"1996-07-16"</f>
        <v>1996-07-16</v>
      </c>
      <c r="G169" s="14" t="s">
        <v>12</v>
      </c>
      <c r="H169" s="14" t="s">
        <v>31</v>
      </c>
      <c r="I169" s="14" t="s">
        <v>29</v>
      </c>
    </row>
    <row r="170" spans="1:9" s="3" customFormat="1" ht="30" customHeight="1">
      <c r="A170" s="13">
        <v>168</v>
      </c>
      <c r="B170" s="17"/>
      <c r="C170" s="14" t="s">
        <v>45</v>
      </c>
      <c r="D170" s="14" t="str">
        <f>"羊少英"</f>
        <v>羊少英</v>
      </c>
      <c r="E170" s="14" t="str">
        <f t="shared" si="27"/>
        <v>女</v>
      </c>
      <c r="F170" s="14" t="str">
        <f>"1995-06-20"</f>
        <v>1995-06-20</v>
      </c>
      <c r="G170" s="14" t="s">
        <v>27</v>
      </c>
      <c r="H170" s="14" t="s">
        <v>28</v>
      </c>
      <c r="I170" s="14" t="s">
        <v>30</v>
      </c>
    </row>
    <row r="171" spans="1:9" s="3" customFormat="1" ht="30" customHeight="1">
      <c r="A171" s="13">
        <v>169</v>
      </c>
      <c r="B171" s="17"/>
      <c r="C171" s="14" t="s">
        <v>45</v>
      </c>
      <c r="D171" s="14" t="str">
        <f>"王燕女"</f>
        <v>王燕女</v>
      </c>
      <c r="E171" s="14" t="str">
        <f t="shared" si="27"/>
        <v>女</v>
      </c>
      <c r="F171" s="14" t="str">
        <f>"1993-06-18"</f>
        <v>1993-06-18</v>
      </c>
      <c r="G171" s="14" t="s">
        <v>27</v>
      </c>
      <c r="H171" s="14" t="s">
        <v>28</v>
      </c>
      <c r="I171" s="14" t="s">
        <v>29</v>
      </c>
    </row>
    <row r="172" spans="1:9" s="3" customFormat="1" ht="30" customHeight="1">
      <c r="A172" s="13">
        <v>170</v>
      </c>
      <c r="B172" s="17"/>
      <c r="C172" s="14" t="s">
        <v>45</v>
      </c>
      <c r="D172" s="14" t="str">
        <f>"谭旭艳"</f>
        <v>谭旭艳</v>
      </c>
      <c r="E172" s="14" t="str">
        <f t="shared" si="27"/>
        <v>女</v>
      </c>
      <c r="F172" s="14" t="str">
        <f>"1991-08-27"</f>
        <v>1991-08-27</v>
      </c>
      <c r="G172" s="14" t="s">
        <v>12</v>
      </c>
      <c r="H172" s="14" t="s">
        <v>31</v>
      </c>
      <c r="I172" s="14" t="s">
        <v>29</v>
      </c>
    </row>
    <row r="173" spans="1:9" s="3" customFormat="1" ht="30" customHeight="1">
      <c r="A173" s="13">
        <v>171</v>
      </c>
      <c r="B173" s="17"/>
      <c r="C173" s="14" t="s">
        <v>45</v>
      </c>
      <c r="D173" s="14" t="str">
        <f>"蔡欣茜"</f>
        <v>蔡欣茜</v>
      </c>
      <c r="E173" s="14" t="str">
        <f t="shared" si="27"/>
        <v>女</v>
      </c>
      <c r="F173" s="14" t="str">
        <f>"1994-09-17"</f>
        <v>1994-09-17</v>
      </c>
      <c r="G173" s="14" t="s">
        <v>12</v>
      </c>
      <c r="H173" s="14" t="s">
        <v>31</v>
      </c>
      <c r="I173" s="14" t="s">
        <v>29</v>
      </c>
    </row>
    <row r="174" spans="1:9" s="3" customFormat="1" ht="30" customHeight="1">
      <c r="A174" s="13">
        <v>172</v>
      </c>
      <c r="B174" s="17"/>
      <c r="C174" s="14" t="s">
        <v>45</v>
      </c>
      <c r="D174" s="14" t="str">
        <f>"文媛媛"</f>
        <v>文媛媛</v>
      </c>
      <c r="E174" s="14" t="str">
        <f t="shared" si="27"/>
        <v>女</v>
      </c>
      <c r="F174" s="14" t="str">
        <f>"1998-08-07"</f>
        <v>1998-08-07</v>
      </c>
      <c r="G174" s="14" t="s">
        <v>12</v>
      </c>
      <c r="H174" s="14" t="s">
        <v>31</v>
      </c>
      <c r="I174" s="14" t="s">
        <v>30</v>
      </c>
    </row>
    <row r="175" spans="1:9" s="3" customFormat="1" ht="30" customHeight="1">
      <c r="A175" s="13">
        <v>173</v>
      </c>
      <c r="B175" s="17"/>
      <c r="C175" s="14" t="s">
        <v>45</v>
      </c>
      <c r="D175" s="14" t="str">
        <f>"黄小冰"</f>
        <v>黄小冰</v>
      </c>
      <c r="E175" s="14" t="str">
        <f t="shared" si="27"/>
        <v>女</v>
      </c>
      <c r="F175" s="14" t="str">
        <f>"1993-05-14"</f>
        <v>1993-05-14</v>
      </c>
      <c r="G175" s="14" t="s">
        <v>12</v>
      </c>
      <c r="H175" s="14" t="s">
        <v>31</v>
      </c>
      <c r="I175" s="14" t="s">
        <v>29</v>
      </c>
    </row>
    <row r="176" spans="1:9" s="3" customFormat="1" ht="30" customHeight="1">
      <c r="A176" s="13">
        <v>174</v>
      </c>
      <c r="B176" s="17"/>
      <c r="C176" s="14" t="s">
        <v>45</v>
      </c>
      <c r="D176" s="14" t="str">
        <f>"陈珊珊"</f>
        <v>陈珊珊</v>
      </c>
      <c r="E176" s="14" t="str">
        <f t="shared" si="27"/>
        <v>女</v>
      </c>
      <c r="F176" s="14" t="str">
        <f>"1992-09-02"</f>
        <v>1992-09-02</v>
      </c>
      <c r="G176" s="14" t="s">
        <v>27</v>
      </c>
      <c r="H176" s="14" t="s">
        <v>28</v>
      </c>
      <c r="I176" s="14" t="s">
        <v>30</v>
      </c>
    </row>
    <row r="177" spans="1:9" s="3" customFormat="1" ht="30" customHeight="1">
      <c r="A177" s="13">
        <v>175</v>
      </c>
      <c r="B177" s="17"/>
      <c r="C177" s="14" t="s">
        <v>45</v>
      </c>
      <c r="D177" s="14" t="str">
        <f>"陈小喜"</f>
        <v>陈小喜</v>
      </c>
      <c r="E177" s="14" t="str">
        <f t="shared" si="27"/>
        <v>女</v>
      </c>
      <c r="F177" s="14" t="str">
        <f>"1993-11-16"</f>
        <v>1993-11-16</v>
      </c>
      <c r="G177" s="14" t="s">
        <v>27</v>
      </c>
      <c r="H177" s="14" t="s">
        <v>28</v>
      </c>
      <c r="I177" s="14" t="s">
        <v>30</v>
      </c>
    </row>
    <row r="178" spans="1:9" s="3" customFormat="1" ht="30" customHeight="1">
      <c r="A178" s="13">
        <v>176</v>
      </c>
      <c r="B178" s="17"/>
      <c r="C178" s="14" t="s">
        <v>45</v>
      </c>
      <c r="D178" s="14" t="str">
        <f>"陈晓婷"</f>
        <v>陈晓婷</v>
      </c>
      <c r="E178" s="14" t="str">
        <f t="shared" si="27"/>
        <v>女</v>
      </c>
      <c r="F178" s="14" t="str">
        <f>"1990-09-14"</f>
        <v>1990-09-14</v>
      </c>
      <c r="G178" s="14" t="s">
        <v>27</v>
      </c>
      <c r="H178" s="14" t="s">
        <v>28</v>
      </c>
      <c r="I178" s="14" t="s">
        <v>30</v>
      </c>
    </row>
    <row r="179" spans="1:9" s="3" customFormat="1" ht="30" customHeight="1">
      <c r="A179" s="13">
        <v>177</v>
      </c>
      <c r="B179" s="17"/>
      <c r="C179" s="14" t="s">
        <v>45</v>
      </c>
      <c r="D179" s="14" t="str">
        <f>"杨用玲"</f>
        <v>杨用玲</v>
      </c>
      <c r="E179" s="14" t="str">
        <f t="shared" si="27"/>
        <v>女</v>
      </c>
      <c r="F179" s="14" t="str">
        <f>"1999-12-20"</f>
        <v>1999-12-20</v>
      </c>
      <c r="G179" s="14" t="s">
        <v>27</v>
      </c>
      <c r="H179" s="14" t="s">
        <v>28</v>
      </c>
      <c r="I179" s="14" t="s">
        <v>29</v>
      </c>
    </row>
    <row r="180" spans="1:9" s="3" customFormat="1" ht="30" customHeight="1">
      <c r="A180" s="13">
        <v>178</v>
      </c>
      <c r="B180" s="17"/>
      <c r="C180" s="14" t="s">
        <v>45</v>
      </c>
      <c r="D180" s="14" t="str">
        <f>"陈菁晶"</f>
        <v>陈菁晶</v>
      </c>
      <c r="E180" s="14" t="str">
        <f t="shared" si="27"/>
        <v>女</v>
      </c>
      <c r="F180" s="14" t="str">
        <f>"1999-11-18"</f>
        <v>1999-11-18</v>
      </c>
      <c r="G180" s="14" t="s">
        <v>27</v>
      </c>
      <c r="H180" s="14" t="s">
        <v>28</v>
      </c>
      <c r="I180" s="14" t="s">
        <v>30</v>
      </c>
    </row>
    <row r="181" spans="1:9" s="3" customFormat="1" ht="30" customHeight="1">
      <c r="A181" s="13">
        <v>179</v>
      </c>
      <c r="B181" s="17"/>
      <c r="C181" s="14" t="s">
        <v>45</v>
      </c>
      <c r="D181" s="14" t="str">
        <f>"钟倩瑶"</f>
        <v>钟倩瑶</v>
      </c>
      <c r="E181" s="14" t="str">
        <f t="shared" si="27"/>
        <v>女</v>
      </c>
      <c r="F181" s="14" t="str">
        <f>"1995-05-07"</f>
        <v>1995-05-07</v>
      </c>
      <c r="G181" s="14" t="s">
        <v>27</v>
      </c>
      <c r="H181" s="14" t="s">
        <v>28</v>
      </c>
      <c r="I181" s="14" t="s">
        <v>29</v>
      </c>
    </row>
    <row r="182" spans="1:9" s="3" customFormat="1" ht="30" customHeight="1">
      <c r="A182" s="13">
        <v>180</v>
      </c>
      <c r="B182" s="17"/>
      <c r="C182" s="14" t="s">
        <v>45</v>
      </c>
      <c r="D182" s="14" t="str">
        <f>"曾姗姗"</f>
        <v>曾姗姗</v>
      </c>
      <c r="E182" s="14" t="str">
        <f t="shared" si="27"/>
        <v>女</v>
      </c>
      <c r="F182" s="14" t="str">
        <f>"1998-11-12"</f>
        <v>1998-11-12</v>
      </c>
      <c r="G182" s="14" t="s">
        <v>27</v>
      </c>
      <c r="H182" s="14" t="s">
        <v>28</v>
      </c>
      <c r="I182" s="14" t="s">
        <v>30</v>
      </c>
    </row>
    <row r="183" spans="1:9" s="3" customFormat="1" ht="30" customHeight="1">
      <c r="A183" s="13">
        <v>181</v>
      </c>
      <c r="B183" s="17"/>
      <c r="C183" s="14" t="s">
        <v>45</v>
      </c>
      <c r="D183" s="14" t="str">
        <f>"陈雪"</f>
        <v>陈雪</v>
      </c>
      <c r="E183" s="14" t="str">
        <f t="shared" si="27"/>
        <v>女</v>
      </c>
      <c r="F183" s="14" t="str">
        <f>"1989-01-05"</f>
        <v>1989-01-05</v>
      </c>
      <c r="G183" s="14" t="s">
        <v>27</v>
      </c>
      <c r="H183" s="14" t="s">
        <v>28</v>
      </c>
      <c r="I183" s="14" t="s">
        <v>29</v>
      </c>
    </row>
    <row r="184" spans="1:9" s="3" customFormat="1" ht="30" customHeight="1">
      <c r="A184" s="13">
        <v>182</v>
      </c>
      <c r="B184" s="17"/>
      <c r="C184" s="14" t="s">
        <v>45</v>
      </c>
      <c r="D184" s="14" t="str">
        <f>"王悦营"</f>
        <v>王悦营</v>
      </c>
      <c r="E184" s="14" t="str">
        <f t="shared" si="27"/>
        <v>女</v>
      </c>
      <c r="F184" s="14" t="str">
        <f>"1996-08-26"</f>
        <v>1996-08-26</v>
      </c>
      <c r="G184" s="14" t="s">
        <v>12</v>
      </c>
      <c r="H184" s="14" t="s">
        <v>31</v>
      </c>
      <c r="I184" s="14" t="s">
        <v>30</v>
      </c>
    </row>
    <row r="185" spans="1:9" s="3" customFormat="1" ht="30" customHeight="1">
      <c r="A185" s="13">
        <v>183</v>
      </c>
      <c r="B185" s="17"/>
      <c r="C185" s="14" t="s">
        <v>45</v>
      </c>
      <c r="D185" s="14" t="str">
        <f>"谢秀妃"</f>
        <v>谢秀妃</v>
      </c>
      <c r="E185" s="14" t="str">
        <f t="shared" si="27"/>
        <v>女</v>
      </c>
      <c r="F185" s="14" t="str">
        <f>"1997-11-21"</f>
        <v>1997-11-21</v>
      </c>
      <c r="G185" s="14" t="s">
        <v>27</v>
      </c>
      <c r="H185" s="14" t="s">
        <v>28</v>
      </c>
      <c r="I185" s="14" t="s">
        <v>30</v>
      </c>
    </row>
    <row r="186" spans="1:9" s="3" customFormat="1" ht="30" customHeight="1">
      <c r="A186" s="13">
        <v>184</v>
      </c>
      <c r="B186" s="17"/>
      <c r="C186" s="14" t="s">
        <v>45</v>
      </c>
      <c r="D186" s="14" t="str">
        <f>"高晓霞"</f>
        <v>高晓霞</v>
      </c>
      <c r="E186" s="14" t="str">
        <f t="shared" si="27"/>
        <v>女</v>
      </c>
      <c r="F186" s="14" t="str">
        <f>"1994-08-25"</f>
        <v>1994-08-25</v>
      </c>
      <c r="G186" s="14" t="s">
        <v>27</v>
      </c>
      <c r="H186" s="14" t="s">
        <v>28</v>
      </c>
      <c r="I186" s="14" t="s">
        <v>30</v>
      </c>
    </row>
    <row r="187" spans="1:9" s="3" customFormat="1" ht="30" customHeight="1">
      <c r="A187" s="13">
        <v>185</v>
      </c>
      <c r="B187" s="17"/>
      <c r="C187" s="14" t="s">
        <v>45</v>
      </c>
      <c r="D187" s="14" t="str">
        <f>"吉艳"</f>
        <v>吉艳</v>
      </c>
      <c r="E187" s="14" t="str">
        <f t="shared" si="27"/>
        <v>女</v>
      </c>
      <c r="F187" s="14" t="str">
        <f>"1996-07-08"</f>
        <v>1996-07-08</v>
      </c>
      <c r="G187" s="14" t="s">
        <v>27</v>
      </c>
      <c r="H187" s="14" t="s">
        <v>28</v>
      </c>
      <c r="I187" s="14" t="s">
        <v>30</v>
      </c>
    </row>
    <row r="188" spans="1:9" s="3" customFormat="1" ht="30" customHeight="1">
      <c r="A188" s="13">
        <v>186</v>
      </c>
      <c r="B188" s="17"/>
      <c r="C188" s="14" t="s">
        <v>45</v>
      </c>
      <c r="D188" s="14" t="str">
        <f>"王彩玉"</f>
        <v>王彩玉</v>
      </c>
      <c r="E188" s="14" t="str">
        <f t="shared" si="27"/>
        <v>女</v>
      </c>
      <c r="F188" s="14" t="str">
        <f>"1995-11-20"</f>
        <v>1995-11-20</v>
      </c>
      <c r="G188" s="14" t="s">
        <v>27</v>
      </c>
      <c r="H188" s="14" t="s">
        <v>28</v>
      </c>
      <c r="I188" s="14" t="s">
        <v>29</v>
      </c>
    </row>
    <row r="189" spans="1:9" s="3" customFormat="1" ht="30" customHeight="1">
      <c r="A189" s="13">
        <v>187</v>
      </c>
      <c r="B189" s="17"/>
      <c r="C189" s="14" t="s">
        <v>45</v>
      </c>
      <c r="D189" s="14" t="str">
        <f>"李慧"</f>
        <v>李慧</v>
      </c>
      <c r="E189" s="14" t="str">
        <f t="shared" si="27"/>
        <v>女</v>
      </c>
      <c r="F189" s="14" t="str">
        <f>"1998-02-19"</f>
        <v>1998-02-19</v>
      </c>
      <c r="G189" s="14" t="s">
        <v>27</v>
      </c>
      <c r="H189" s="14" t="s">
        <v>28</v>
      </c>
      <c r="I189" s="14" t="s">
        <v>30</v>
      </c>
    </row>
    <row r="190" spans="1:9" s="3" customFormat="1" ht="30" customHeight="1">
      <c r="A190" s="13">
        <v>188</v>
      </c>
      <c r="B190" s="17"/>
      <c r="C190" s="14" t="s">
        <v>45</v>
      </c>
      <c r="D190" s="14" t="str">
        <f>"陈亚丽"</f>
        <v>陈亚丽</v>
      </c>
      <c r="E190" s="14" t="str">
        <f t="shared" si="27"/>
        <v>女</v>
      </c>
      <c r="F190" s="14" t="str">
        <f>"1994-06-11"</f>
        <v>1994-06-11</v>
      </c>
      <c r="G190" s="14" t="s">
        <v>27</v>
      </c>
      <c r="H190" s="14" t="s">
        <v>28</v>
      </c>
      <c r="I190" s="14" t="s">
        <v>30</v>
      </c>
    </row>
    <row r="191" spans="1:9" s="3" customFormat="1" ht="30" customHeight="1">
      <c r="A191" s="13">
        <v>189</v>
      </c>
      <c r="B191" s="17"/>
      <c r="C191" s="14" t="s">
        <v>45</v>
      </c>
      <c r="D191" s="14" t="str">
        <f>"黄凤银"</f>
        <v>黄凤银</v>
      </c>
      <c r="E191" s="14" t="str">
        <f t="shared" si="27"/>
        <v>女</v>
      </c>
      <c r="F191" s="14" t="str">
        <f>"1991-12-14"</f>
        <v>1991-12-14</v>
      </c>
      <c r="G191" s="14" t="s">
        <v>27</v>
      </c>
      <c r="H191" s="14" t="s">
        <v>28</v>
      </c>
      <c r="I191" s="14" t="s">
        <v>30</v>
      </c>
    </row>
    <row r="192" spans="1:9" s="3" customFormat="1" ht="30" customHeight="1">
      <c r="A192" s="13">
        <v>190</v>
      </c>
      <c r="B192" s="18"/>
      <c r="C192" s="21" t="s">
        <v>45</v>
      </c>
      <c r="D192" s="22" t="s">
        <v>47</v>
      </c>
      <c r="E192" s="21" t="s">
        <v>48</v>
      </c>
      <c r="F192" s="14" t="str">
        <f>"1993-08-03"</f>
        <v>1993-08-03</v>
      </c>
      <c r="G192" s="21" t="s">
        <v>27</v>
      </c>
      <c r="H192" s="21" t="s">
        <v>28</v>
      </c>
      <c r="I192" s="23" t="s">
        <v>30</v>
      </c>
    </row>
    <row r="193" spans="1:9" s="3" customFormat="1" ht="30" customHeight="1">
      <c r="A193" s="13">
        <v>191</v>
      </c>
      <c r="B193" s="16" t="s">
        <v>49</v>
      </c>
      <c r="C193" s="14" t="s">
        <v>50</v>
      </c>
      <c r="D193" s="14" t="str">
        <f>"蔡开娜"</f>
        <v>蔡开娜</v>
      </c>
      <c r="E193" s="14" t="str">
        <f aca="true" t="shared" si="28" ref="E193:E208">"女"</f>
        <v>女</v>
      </c>
      <c r="F193" s="14" t="str">
        <f>"1993-03-10"</f>
        <v>1993-03-10</v>
      </c>
      <c r="G193" s="14" t="s">
        <v>12</v>
      </c>
      <c r="H193" s="14" t="str">
        <f>"临床医学"</f>
        <v>临床医学</v>
      </c>
      <c r="I193" s="14" t="str">
        <f>"助理医师"</f>
        <v>助理医师</v>
      </c>
    </row>
    <row r="194" spans="1:9" s="3" customFormat="1" ht="30" customHeight="1">
      <c r="A194" s="13">
        <v>192</v>
      </c>
      <c r="B194" s="18"/>
      <c r="C194" s="14" t="s">
        <v>50</v>
      </c>
      <c r="D194" s="14" t="str">
        <f>"董君思"</f>
        <v>董君思</v>
      </c>
      <c r="E194" s="14" t="str">
        <f t="shared" si="28"/>
        <v>女</v>
      </c>
      <c r="F194" s="14" t="str">
        <f>"1994-05-21"</f>
        <v>1994-05-21</v>
      </c>
      <c r="G194" s="14" t="str">
        <f>"大专"</f>
        <v>大专</v>
      </c>
      <c r="H194" s="14" t="str">
        <f>"临床医学"</f>
        <v>临床医学</v>
      </c>
      <c r="I194" s="14" t="str">
        <f>"助理医师"</f>
        <v>助理医师</v>
      </c>
    </row>
    <row r="195" spans="1:9" s="3" customFormat="1" ht="30" customHeight="1">
      <c r="A195" s="13">
        <v>193</v>
      </c>
      <c r="B195" s="16" t="s">
        <v>49</v>
      </c>
      <c r="C195" s="14" t="s">
        <v>51</v>
      </c>
      <c r="D195" s="14" t="str">
        <f>"何芳"</f>
        <v>何芳</v>
      </c>
      <c r="E195" s="14" t="str">
        <f t="shared" si="28"/>
        <v>女</v>
      </c>
      <c r="F195" s="14" t="str">
        <f>"1997-03-23"</f>
        <v>1997-03-23</v>
      </c>
      <c r="G195" s="14" t="s">
        <v>27</v>
      </c>
      <c r="H195" s="14" t="s">
        <v>28</v>
      </c>
      <c r="I195" s="23" t="s">
        <v>30</v>
      </c>
    </row>
    <row r="196" spans="1:9" s="3" customFormat="1" ht="30" customHeight="1">
      <c r="A196" s="13">
        <v>194</v>
      </c>
      <c r="B196" s="17"/>
      <c r="C196" s="14" t="s">
        <v>51</v>
      </c>
      <c r="D196" s="14" t="str">
        <f>"何嘉琪"</f>
        <v>何嘉琪</v>
      </c>
      <c r="E196" s="14" t="str">
        <f t="shared" si="28"/>
        <v>女</v>
      </c>
      <c r="F196" s="14" t="str">
        <f>"1992-10-10"</f>
        <v>1992-10-10</v>
      </c>
      <c r="G196" s="14" t="s">
        <v>27</v>
      </c>
      <c r="H196" s="14" t="s">
        <v>28</v>
      </c>
      <c r="I196" s="23" t="s">
        <v>30</v>
      </c>
    </row>
    <row r="197" spans="1:9" s="3" customFormat="1" ht="30" customHeight="1">
      <c r="A197" s="13">
        <v>195</v>
      </c>
      <c r="B197" s="17"/>
      <c r="C197" s="14" t="s">
        <v>51</v>
      </c>
      <c r="D197" s="14" t="str">
        <f>"邓力楠"</f>
        <v>邓力楠</v>
      </c>
      <c r="E197" s="14" t="str">
        <f t="shared" si="28"/>
        <v>女</v>
      </c>
      <c r="F197" s="14" t="str">
        <f>"1995-11-13"</f>
        <v>1995-11-13</v>
      </c>
      <c r="G197" s="14" t="s">
        <v>27</v>
      </c>
      <c r="H197" s="14" t="s">
        <v>28</v>
      </c>
      <c r="I197" s="23" t="s">
        <v>30</v>
      </c>
    </row>
    <row r="198" spans="1:9" s="3" customFormat="1" ht="30" customHeight="1">
      <c r="A198" s="13">
        <v>196</v>
      </c>
      <c r="B198" s="17"/>
      <c r="C198" s="14" t="s">
        <v>51</v>
      </c>
      <c r="D198" s="14" t="str">
        <f>"谭冬洁"</f>
        <v>谭冬洁</v>
      </c>
      <c r="E198" s="14" t="str">
        <f t="shared" si="28"/>
        <v>女</v>
      </c>
      <c r="F198" s="14" t="str">
        <f>"1994-11-14"</f>
        <v>1994-11-14</v>
      </c>
      <c r="G198" s="14" t="s">
        <v>27</v>
      </c>
      <c r="H198" s="14" t="s">
        <v>28</v>
      </c>
      <c r="I198" s="23" t="s">
        <v>30</v>
      </c>
    </row>
    <row r="199" spans="1:9" s="3" customFormat="1" ht="30" customHeight="1">
      <c r="A199" s="13">
        <v>197</v>
      </c>
      <c r="B199" s="17"/>
      <c r="C199" s="14" t="s">
        <v>51</v>
      </c>
      <c r="D199" s="14" t="str">
        <f>"黄雅杏"</f>
        <v>黄雅杏</v>
      </c>
      <c r="E199" s="14" t="str">
        <f t="shared" si="28"/>
        <v>女</v>
      </c>
      <c r="F199" s="14" t="str">
        <f>"1992-02-15"</f>
        <v>1992-02-15</v>
      </c>
      <c r="G199" s="14" t="s">
        <v>12</v>
      </c>
      <c r="H199" s="14" t="s">
        <v>31</v>
      </c>
      <c r="I199" s="14" t="s">
        <v>29</v>
      </c>
    </row>
    <row r="200" spans="1:9" s="3" customFormat="1" ht="30" customHeight="1">
      <c r="A200" s="13">
        <v>198</v>
      </c>
      <c r="B200" s="17"/>
      <c r="C200" s="14" t="s">
        <v>51</v>
      </c>
      <c r="D200" s="14" t="str">
        <f>"李丽男"</f>
        <v>李丽男</v>
      </c>
      <c r="E200" s="14" t="str">
        <f t="shared" si="28"/>
        <v>女</v>
      </c>
      <c r="F200" s="14" t="str">
        <f>"1991-08-07"</f>
        <v>1991-08-07</v>
      </c>
      <c r="G200" s="14" t="s">
        <v>27</v>
      </c>
      <c r="H200" s="14" t="s">
        <v>28</v>
      </c>
      <c r="I200" s="14" t="s">
        <v>29</v>
      </c>
    </row>
    <row r="201" spans="1:9" s="3" customFormat="1" ht="30" customHeight="1">
      <c r="A201" s="13">
        <v>199</v>
      </c>
      <c r="B201" s="17"/>
      <c r="C201" s="14" t="s">
        <v>51</v>
      </c>
      <c r="D201" s="14" t="str">
        <f>"黄碧珠"</f>
        <v>黄碧珠</v>
      </c>
      <c r="E201" s="14" t="str">
        <f t="shared" si="28"/>
        <v>女</v>
      </c>
      <c r="F201" s="14" t="str">
        <f>"1987-08-30"</f>
        <v>1987-08-30</v>
      </c>
      <c r="G201" s="14" t="s">
        <v>27</v>
      </c>
      <c r="H201" s="14" t="s">
        <v>28</v>
      </c>
      <c r="I201" s="23" t="s">
        <v>30</v>
      </c>
    </row>
    <row r="202" spans="1:9" s="3" customFormat="1" ht="30" customHeight="1">
      <c r="A202" s="13">
        <v>200</v>
      </c>
      <c r="B202" s="17"/>
      <c r="C202" s="14" t="s">
        <v>51</v>
      </c>
      <c r="D202" s="14" t="str">
        <f>"刘许诺"</f>
        <v>刘许诺</v>
      </c>
      <c r="E202" s="14" t="str">
        <f t="shared" si="28"/>
        <v>女</v>
      </c>
      <c r="F202" s="14" t="str">
        <f>"1988-06-19"</f>
        <v>1988-06-19</v>
      </c>
      <c r="G202" s="14" t="s">
        <v>12</v>
      </c>
      <c r="H202" s="14" t="s">
        <v>31</v>
      </c>
      <c r="I202" s="14" t="s">
        <v>33</v>
      </c>
    </row>
    <row r="203" spans="1:9" s="3" customFormat="1" ht="30" customHeight="1">
      <c r="A203" s="13">
        <v>201</v>
      </c>
      <c r="B203" s="17"/>
      <c r="C203" s="14" t="s">
        <v>51</v>
      </c>
      <c r="D203" s="14" t="str">
        <f>"王如妹"</f>
        <v>王如妹</v>
      </c>
      <c r="E203" s="14" t="str">
        <f t="shared" si="28"/>
        <v>女</v>
      </c>
      <c r="F203" s="14" t="str">
        <f>"1993-02-05"</f>
        <v>1993-02-05</v>
      </c>
      <c r="G203" s="14" t="s">
        <v>12</v>
      </c>
      <c r="H203" s="14" t="s">
        <v>31</v>
      </c>
      <c r="I203" s="14" t="s">
        <v>29</v>
      </c>
    </row>
    <row r="204" spans="1:9" s="3" customFormat="1" ht="30" customHeight="1">
      <c r="A204" s="13">
        <v>202</v>
      </c>
      <c r="B204" s="17"/>
      <c r="C204" s="14" t="s">
        <v>51</v>
      </c>
      <c r="D204" s="14" t="str">
        <f>"吉雅杉"</f>
        <v>吉雅杉</v>
      </c>
      <c r="E204" s="14" t="str">
        <f t="shared" si="28"/>
        <v>女</v>
      </c>
      <c r="F204" s="14" t="str">
        <f>"1993-06-11"</f>
        <v>1993-06-11</v>
      </c>
      <c r="G204" s="14" t="s">
        <v>12</v>
      </c>
      <c r="H204" s="14" t="s">
        <v>31</v>
      </c>
      <c r="I204" s="14" t="s">
        <v>29</v>
      </c>
    </row>
    <row r="205" spans="1:9" s="3" customFormat="1" ht="30" customHeight="1">
      <c r="A205" s="13">
        <v>203</v>
      </c>
      <c r="B205" s="17"/>
      <c r="C205" s="14" t="s">
        <v>51</v>
      </c>
      <c r="D205" s="14" t="str">
        <f>"张会英"</f>
        <v>张会英</v>
      </c>
      <c r="E205" s="14" t="str">
        <f t="shared" si="28"/>
        <v>女</v>
      </c>
      <c r="F205" s="14" t="str">
        <f>"1995-09-18"</f>
        <v>1995-09-18</v>
      </c>
      <c r="G205" s="14" t="s">
        <v>27</v>
      </c>
      <c r="H205" s="14" t="s">
        <v>28</v>
      </c>
      <c r="I205" s="23" t="s">
        <v>30</v>
      </c>
    </row>
    <row r="206" spans="1:9" s="3" customFormat="1" ht="30" customHeight="1">
      <c r="A206" s="13">
        <v>204</v>
      </c>
      <c r="B206" s="17"/>
      <c r="C206" s="14" t="s">
        <v>51</v>
      </c>
      <c r="D206" s="14" t="str">
        <f>"颜婷"</f>
        <v>颜婷</v>
      </c>
      <c r="E206" s="14" t="str">
        <f t="shared" si="28"/>
        <v>女</v>
      </c>
      <c r="F206" s="14" t="str">
        <f>"1992-06-11"</f>
        <v>1992-06-11</v>
      </c>
      <c r="G206" s="14" t="s">
        <v>27</v>
      </c>
      <c r="H206" s="14" t="s">
        <v>28</v>
      </c>
      <c r="I206" s="23" t="s">
        <v>30</v>
      </c>
    </row>
    <row r="207" spans="1:9" s="3" customFormat="1" ht="30" customHeight="1">
      <c r="A207" s="13">
        <v>205</v>
      </c>
      <c r="B207" s="17"/>
      <c r="C207" s="14" t="s">
        <v>51</v>
      </c>
      <c r="D207" s="14" t="str">
        <f>"曾平红"</f>
        <v>曾平红</v>
      </c>
      <c r="E207" s="14" t="str">
        <f t="shared" si="28"/>
        <v>女</v>
      </c>
      <c r="F207" s="14" t="str">
        <f>"1994-11-17"</f>
        <v>1994-11-17</v>
      </c>
      <c r="G207" s="14" t="s">
        <v>27</v>
      </c>
      <c r="H207" s="14" t="s">
        <v>28</v>
      </c>
      <c r="I207" s="23" t="s">
        <v>30</v>
      </c>
    </row>
    <row r="208" spans="1:9" s="3" customFormat="1" ht="30" customHeight="1">
      <c r="A208" s="13">
        <v>206</v>
      </c>
      <c r="B208" s="17"/>
      <c r="C208" s="14" t="s">
        <v>51</v>
      </c>
      <c r="D208" s="14" t="str">
        <f>"刘敬"</f>
        <v>刘敬</v>
      </c>
      <c r="E208" s="14" t="str">
        <f t="shared" si="28"/>
        <v>女</v>
      </c>
      <c r="F208" s="14" t="str">
        <f>"1998-01-24"</f>
        <v>1998-01-24</v>
      </c>
      <c r="G208" s="14" t="s">
        <v>12</v>
      </c>
      <c r="H208" s="14" t="s">
        <v>31</v>
      </c>
      <c r="I208" s="23" t="s">
        <v>30</v>
      </c>
    </row>
    <row r="209" spans="1:9" s="3" customFormat="1" ht="30" customHeight="1">
      <c r="A209" s="13">
        <v>207</v>
      </c>
      <c r="B209" s="17"/>
      <c r="C209" s="14" t="s">
        <v>51</v>
      </c>
      <c r="D209" s="14" t="str">
        <f>"吉丽丽"</f>
        <v>吉丽丽</v>
      </c>
      <c r="E209" s="14" t="str">
        <f aca="true" t="shared" si="29" ref="E209:E231">"女"</f>
        <v>女</v>
      </c>
      <c r="F209" s="14" t="str">
        <f>"1994-04-05"</f>
        <v>1994-04-05</v>
      </c>
      <c r="G209" s="14" t="s">
        <v>27</v>
      </c>
      <c r="H209" s="14" t="s">
        <v>28</v>
      </c>
      <c r="I209" s="23" t="s">
        <v>30</v>
      </c>
    </row>
    <row r="210" spans="1:9" s="3" customFormat="1" ht="30" customHeight="1">
      <c r="A210" s="13">
        <v>208</v>
      </c>
      <c r="B210" s="17"/>
      <c r="C210" s="14" t="s">
        <v>51</v>
      </c>
      <c r="D210" s="14" t="str">
        <f>"陈少娜"</f>
        <v>陈少娜</v>
      </c>
      <c r="E210" s="14" t="str">
        <f t="shared" si="29"/>
        <v>女</v>
      </c>
      <c r="F210" s="14" t="str">
        <f>"1994-07-22"</f>
        <v>1994-07-22</v>
      </c>
      <c r="G210" s="14" t="s">
        <v>27</v>
      </c>
      <c r="H210" s="14" t="s">
        <v>28</v>
      </c>
      <c r="I210" s="23" t="s">
        <v>30</v>
      </c>
    </row>
    <row r="211" spans="1:9" s="3" customFormat="1" ht="30" customHeight="1">
      <c r="A211" s="13">
        <v>209</v>
      </c>
      <c r="B211" s="17"/>
      <c r="C211" s="14" t="s">
        <v>51</v>
      </c>
      <c r="D211" s="14" t="str">
        <f>"刘秀冬"</f>
        <v>刘秀冬</v>
      </c>
      <c r="E211" s="14" t="str">
        <f t="shared" si="29"/>
        <v>女</v>
      </c>
      <c r="F211" s="14" t="str">
        <f>"1990-05-21"</f>
        <v>1990-05-21</v>
      </c>
      <c r="G211" s="14" t="s">
        <v>27</v>
      </c>
      <c r="H211" s="14" t="s">
        <v>28</v>
      </c>
      <c r="I211" s="14" t="s">
        <v>29</v>
      </c>
    </row>
    <row r="212" spans="1:9" s="3" customFormat="1" ht="30" customHeight="1">
      <c r="A212" s="13">
        <v>210</v>
      </c>
      <c r="B212" s="17"/>
      <c r="C212" s="14" t="s">
        <v>51</v>
      </c>
      <c r="D212" s="14" t="str">
        <f>"朱美景"</f>
        <v>朱美景</v>
      </c>
      <c r="E212" s="14" t="str">
        <f t="shared" si="29"/>
        <v>女</v>
      </c>
      <c r="F212" s="14" t="str">
        <f>"1992-08-14"</f>
        <v>1992-08-14</v>
      </c>
      <c r="G212" s="14" t="s">
        <v>12</v>
      </c>
      <c r="H212" s="14" t="s">
        <v>31</v>
      </c>
      <c r="I212" s="14" t="s">
        <v>29</v>
      </c>
    </row>
    <row r="213" spans="1:9" s="3" customFormat="1" ht="30" customHeight="1">
      <c r="A213" s="13">
        <v>211</v>
      </c>
      <c r="B213" s="17"/>
      <c r="C213" s="14" t="s">
        <v>51</v>
      </c>
      <c r="D213" s="14" t="str">
        <f>"吴艳"</f>
        <v>吴艳</v>
      </c>
      <c r="E213" s="14" t="str">
        <f t="shared" si="29"/>
        <v>女</v>
      </c>
      <c r="F213" s="14" t="str">
        <f>"1993-01-28"</f>
        <v>1993-01-28</v>
      </c>
      <c r="G213" s="14" t="s">
        <v>12</v>
      </c>
      <c r="H213" s="14" t="s">
        <v>31</v>
      </c>
      <c r="I213" s="23" t="s">
        <v>30</v>
      </c>
    </row>
    <row r="214" spans="1:9" s="3" customFormat="1" ht="30" customHeight="1">
      <c r="A214" s="13">
        <v>212</v>
      </c>
      <c r="B214" s="17"/>
      <c r="C214" s="14" t="s">
        <v>51</v>
      </c>
      <c r="D214" s="14" t="str">
        <f>"羊金秀"</f>
        <v>羊金秀</v>
      </c>
      <c r="E214" s="14" t="str">
        <f t="shared" si="29"/>
        <v>女</v>
      </c>
      <c r="F214" s="14" t="str">
        <f>"2000-11-20"</f>
        <v>2000-11-20</v>
      </c>
      <c r="G214" s="14" t="s">
        <v>27</v>
      </c>
      <c r="H214" s="14" t="s">
        <v>28</v>
      </c>
      <c r="I214" s="23" t="s">
        <v>30</v>
      </c>
    </row>
    <row r="215" spans="1:9" s="3" customFormat="1" ht="30" customHeight="1">
      <c r="A215" s="13">
        <v>213</v>
      </c>
      <c r="B215" s="17"/>
      <c r="C215" s="14" t="s">
        <v>51</v>
      </c>
      <c r="D215" s="14" t="str">
        <f>"赵野"</f>
        <v>赵野</v>
      </c>
      <c r="E215" s="14" t="str">
        <f t="shared" si="29"/>
        <v>女</v>
      </c>
      <c r="F215" s="14" t="str">
        <f>"1997-02-02"</f>
        <v>1997-02-02</v>
      </c>
      <c r="G215" s="14" t="s">
        <v>12</v>
      </c>
      <c r="H215" s="14" t="s">
        <v>31</v>
      </c>
      <c r="I215" s="23" t="s">
        <v>30</v>
      </c>
    </row>
    <row r="216" spans="1:9" s="3" customFormat="1" ht="30" customHeight="1">
      <c r="A216" s="13">
        <v>214</v>
      </c>
      <c r="B216" s="17"/>
      <c r="C216" s="14" t="s">
        <v>51</v>
      </c>
      <c r="D216" s="14" t="str">
        <f>"朱孟芳"</f>
        <v>朱孟芳</v>
      </c>
      <c r="E216" s="14" t="str">
        <f t="shared" si="29"/>
        <v>女</v>
      </c>
      <c r="F216" s="14" t="str">
        <f>"2003-03-10"</f>
        <v>2003-03-10</v>
      </c>
      <c r="G216" s="14" t="s">
        <v>27</v>
      </c>
      <c r="H216" s="14" t="s">
        <v>28</v>
      </c>
      <c r="I216" s="23" t="s">
        <v>30</v>
      </c>
    </row>
    <row r="217" spans="1:9" s="3" customFormat="1" ht="30" customHeight="1">
      <c r="A217" s="13">
        <v>215</v>
      </c>
      <c r="B217" s="17"/>
      <c r="C217" s="14" t="s">
        <v>51</v>
      </c>
      <c r="D217" s="14" t="str">
        <f>"王千禧"</f>
        <v>王千禧</v>
      </c>
      <c r="E217" s="14" t="str">
        <f t="shared" si="29"/>
        <v>女</v>
      </c>
      <c r="F217" s="14" t="str">
        <f>"2000-09-10"</f>
        <v>2000-09-10</v>
      </c>
      <c r="G217" s="14" t="s">
        <v>27</v>
      </c>
      <c r="H217" s="14" t="s">
        <v>28</v>
      </c>
      <c r="I217" s="23" t="s">
        <v>30</v>
      </c>
    </row>
    <row r="218" spans="1:9" s="3" customFormat="1" ht="30" customHeight="1">
      <c r="A218" s="13">
        <v>216</v>
      </c>
      <c r="B218" s="17"/>
      <c r="C218" s="14" t="s">
        <v>51</v>
      </c>
      <c r="D218" s="14" t="str">
        <f>"符亚颜"</f>
        <v>符亚颜</v>
      </c>
      <c r="E218" s="14" t="str">
        <f t="shared" si="29"/>
        <v>女</v>
      </c>
      <c r="F218" s="14" t="str">
        <f>"1990-12-17"</f>
        <v>1990-12-17</v>
      </c>
      <c r="G218" s="14" t="s">
        <v>27</v>
      </c>
      <c r="H218" s="14" t="s">
        <v>28</v>
      </c>
      <c r="I218" s="14" t="s">
        <v>29</v>
      </c>
    </row>
    <row r="219" spans="1:9" s="3" customFormat="1" ht="30" customHeight="1">
      <c r="A219" s="13">
        <v>217</v>
      </c>
      <c r="B219" s="17"/>
      <c r="C219" s="14" t="s">
        <v>51</v>
      </c>
      <c r="D219" s="14" t="str">
        <f>"许秋爱"</f>
        <v>许秋爱</v>
      </c>
      <c r="E219" s="14" t="str">
        <f t="shared" si="29"/>
        <v>女</v>
      </c>
      <c r="F219" s="14" t="str">
        <f>"1997-05-10"</f>
        <v>1997-05-10</v>
      </c>
      <c r="G219" s="14" t="s">
        <v>27</v>
      </c>
      <c r="H219" s="14" t="s">
        <v>28</v>
      </c>
      <c r="I219" s="23" t="s">
        <v>30</v>
      </c>
    </row>
    <row r="220" spans="1:9" s="3" customFormat="1" ht="30" customHeight="1">
      <c r="A220" s="13">
        <v>218</v>
      </c>
      <c r="B220" s="17"/>
      <c r="C220" s="14" t="s">
        <v>51</v>
      </c>
      <c r="D220" s="14" t="str">
        <f>"黄佳妮"</f>
        <v>黄佳妮</v>
      </c>
      <c r="E220" s="14" t="str">
        <f t="shared" si="29"/>
        <v>女</v>
      </c>
      <c r="F220" s="14" t="str">
        <f>"1990-08-06"</f>
        <v>1990-08-06</v>
      </c>
      <c r="G220" s="14" t="s">
        <v>12</v>
      </c>
      <c r="H220" s="14" t="s">
        <v>31</v>
      </c>
      <c r="I220" s="23" t="s">
        <v>30</v>
      </c>
    </row>
    <row r="221" spans="1:9" s="3" customFormat="1" ht="30" customHeight="1">
      <c r="A221" s="13">
        <v>219</v>
      </c>
      <c r="B221" s="17"/>
      <c r="C221" s="14" t="s">
        <v>51</v>
      </c>
      <c r="D221" s="14" t="str">
        <f>"王欧"</f>
        <v>王欧</v>
      </c>
      <c r="E221" s="14" t="str">
        <f t="shared" si="29"/>
        <v>女</v>
      </c>
      <c r="F221" s="14" t="str">
        <f>"1989-12-23"</f>
        <v>1989-12-23</v>
      </c>
      <c r="G221" s="14" t="s">
        <v>12</v>
      </c>
      <c r="H221" s="14" t="s">
        <v>31</v>
      </c>
      <c r="I221" s="23" t="s">
        <v>30</v>
      </c>
    </row>
    <row r="222" spans="1:9" s="3" customFormat="1" ht="30" customHeight="1">
      <c r="A222" s="13">
        <v>220</v>
      </c>
      <c r="B222" s="17"/>
      <c r="C222" s="14" t="s">
        <v>51</v>
      </c>
      <c r="D222" s="14" t="str">
        <f>"谭晓曼"</f>
        <v>谭晓曼</v>
      </c>
      <c r="E222" s="14" t="str">
        <f t="shared" si="29"/>
        <v>女</v>
      </c>
      <c r="F222" s="14" t="str">
        <f>"1992-12-17"</f>
        <v>1992-12-17</v>
      </c>
      <c r="G222" s="14" t="s">
        <v>12</v>
      </c>
      <c r="H222" s="14" t="s">
        <v>31</v>
      </c>
      <c r="I222" s="23" t="s">
        <v>30</v>
      </c>
    </row>
    <row r="223" spans="1:9" s="3" customFormat="1" ht="30" customHeight="1">
      <c r="A223" s="13">
        <v>221</v>
      </c>
      <c r="B223" s="17"/>
      <c r="C223" s="14" t="s">
        <v>51</v>
      </c>
      <c r="D223" s="14" t="str">
        <f>"吉美娇"</f>
        <v>吉美娇</v>
      </c>
      <c r="E223" s="14" t="str">
        <f t="shared" si="29"/>
        <v>女</v>
      </c>
      <c r="F223" s="14" t="str">
        <f>"1987-10-24"</f>
        <v>1987-10-24</v>
      </c>
      <c r="G223" s="14" t="s">
        <v>27</v>
      </c>
      <c r="H223" s="14" t="s">
        <v>28</v>
      </c>
      <c r="I223" s="23" t="s">
        <v>30</v>
      </c>
    </row>
    <row r="224" spans="1:9" s="3" customFormat="1" ht="30" customHeight="1">
      <c r="A224" s="13">
        <v>222</v>
      </c>
      <c r="B224" s="17"/>
      <c r="C224" s="14" t="s">
        <v>51</v>
      </c>
      <c r="D224" s="14" t="str">
        <f>"黄淑颖"</f>
        <v>黄淑颖</v>
      </c>
      <c r="E224" s="14" t="str">
        <f t="shared" si="29"/>
        <v>女</v>
      </c>
      <c r="F224" s="14" t="str">
        <f>"1994-05-11"</f>
        <v>1994-05-11</v>
      </c>
      <c r="G224" s="14" t="s">
        <v>27</v>
      </c>
      <c r="H224" s="14" t="s">
        <v>28</v>
      </c>
      <c r="I224" s="14" t="s">
        <v>29</v>
      </c>
    </row>
    <row r="225" spans="1:9" s="3" customFormat="1" ht="30" customHeight="1">
      <c r="A225" s="13">
        <v>223</v>
      </c>
      <c r="B225" s="17"/>
      <c r="C225" s="14" t="s">
        <v>51</v>
      </c>
      <c r="D225" s="14" t="str">
        <f>"陈莉莉"</f>
        <v>陈莉莉</v>
      </c>
      <c r="E225" s="14" t="str">
        <f t="shared" si="29"/>
        <v>女</v>
      </c>
      <c r="F225" s="14" t="str">
        <f>"1992-11-23"</f>
        <v>1992-11-23</v>
      </c>
      <c r="G225" s="14" t="s">
        <v>27</v>
      </c>
      <c r="H225" s="14" t="s">
        <v>28</v>
      </c>
      <c r="I225" s="14" t="s">
        <v>29</v>
      </c>
    </row>
    <row r="226" spans="1:9" s="3" customFormat="1" ht="30" customHeight="1">
      <c r="A226" s="13">
        <v>224</v>
      </c>
      <c r="B226" s="17"/>
      <c r="C226" s="14" t="s">
        <v>51</v>
      </c>
      <c r="D226" s="14" t="str">
        <f>"王佳静"</f>
        <v>王佳静</v>
      </c>
      <c r="E226" s="14" t="str">
        <f t="shared" si="29"/>
        <v>女</v>
      </c>
      <c r="F226" s="14" t="str">
        <f>"1995-08-11"</f>
        <v>1995-08-11</v>
      </c>
      <c r="G226" s="14" t="s">
        <v>27</v>
      </c>
      <c r="H226" s="14" t="s">
        <v>28</v>
      </c>
      <c r="I226" s="23" t="s">
        <v>30</v>
      </c>
    </row>
    <row r="227" spans="1:9" s="3" customFormat="1" ht="30" customHeight="1">
      <c r="A227" s="13">
        <v>225</v>
      </c>
      <c r="B227" s="17"/>
      <c r="C227" s="14" t="s">
        <v>51</v>
      </c>
      <c r="D227" s="14" t="str">
        <f>"朱发春"</f>
        <v>朱发春</v>
      </c>
      <c r="E227" s="14" t="str">
        <f t="shared" si="29"/>
        <v>女</v>
      </c>
      <c r="F227" s="14" t="str">
        <f>"1993-12-04"</f>
        <v>1993-12-04</v>
      </c>
      <c r="G227" s="14" t="s">
        <v>12</v>
      </c>
      <c r="H227" s="14" t="s">
        <v>31</v>
      </c>
      <c r="I227" s="23" t="s">
        <v>30</v>
      </c>
    </row>
    <row r="228" spans="1:9" s="3" customFormat="1" ht="30" customHeight="1">
      <c r="A228" s="13">
        <v>226</v>
      </c>
      <c r="B228" s="17"/>
      <c r="C228" s="14" t="s">
        <v>51</v>
      </c>
      <c r="D228" s="14" t="str">
        <f>"黄倩"</f>
        <v>黄倩</v>
      </c>
      <c r="E228" s="14" t="str">
        <f t="shared" si="29"/>
        <v>女</v>
      </c>
      <c r="F228" s="14" t="str">
        <f>"1995-06-24"</f>
        <v>1995-06-24</v>
      </c>
      <c r="G228" s="14" t="s">
        <v>12</v>
      </c>
      <c r="H228" s="14" t="s">
        <v>52</v>
      </c>
      <c r="I228" s="23" t="s">
        <v>30</v>
      </c>
    </row>
    <row r="229" spans="1:9" s="3" customFormat="1" ht="30" customHeight="1">
      <c r="A229" s="13">
        <v>227</v>
      </c>
      <c r="B229" s="17"/>
      <c r="C229" s="14" t="s">
        <v>51</v>
      </c>
      <c r="D229" s="14" t="str">
        <f>"黄玉影"</f>
        <v>黄玉影</v>
      </c>
      <c r="E229" s="14" t="str">
        <f t="shared" si="29"/>
        <v>女</v>
      </c>
      <c r="F229" s="14" t="str">
        <f>"1993-05-17"</f>
        <v>1993-05-17</v>
      </c>
      <c r="G229" s="14" t="s">
        <v>27</v>
      </c>
      <c r="H229" s="14" t="s">
        <v>28</v>
      </c>
      <c r="I229" s="23" t="s">
        <v>30</v>
      </c>
    </row>
    <row r="230" spans="1:9" s="3" customFormat="1" ht="30" customHeight="1">
      <c r="A230" s="13">
        <v>228</v>
      </c>
      <c r="B230" s="17"/>
      <c r="C230" s="14" t="s">
        <v>51</v>
      </c>
      <c r="D230" s="14" t="str">
        <f>"黄娟思"</f>
        <v>黄娟思</v>
      </c>
      <c r="E230" s="14" t="str">
        <f t="shared" si="29"/>
        <v>女</v>
      </c>
      <c r="F230" s="14" t="str">
        <f>"1990-10-12"</f>
        <v>1990-10-12</v>
      </c>
      <c r="G230" s="14" t="s">
        <v>12</v>
      </c>
      <c r="H230" s="14" t="s">
        <v>31</v>
      </c>
      <c r="I230" s="14" t="s">
        <v>29</v>
      </c>
    </row>
    <row r="231" spans="1:9" s="3" customFormat="1" ht="30" customHeight="1">
      <c r="A231" s="13">
        <v>229</v>
      </c>
      <c r="B231" s="17"/>
      <c r="C231" s="14" t="s">
        <v>51</v>
      </c>
      <c r="D231" s="14" t="str">
        <f>"林成凤"</f>
        <v>林成凤</v>
      </c>
      <c r="E231" s="14" t="str">
        <f t="shared" si="29"/>
        <v>女</v>
      </c>
      <c r="F231" s="14" t="str">
        <f>"1998-05-06"</f>
        <v>1998-05-06</v>
      </c>
      <c r="G231" s="14" t="s">
        <v>12</v>
      </c>
      <c r="H231" s="14" t="s">
        <v>31</v>
      </c>
      <c r="I231" s="23" t="s">
        <v>30</v>
      </c>
    </row>
    <row r="232" spans="1:9" s="3" customFormat="1" ht="30" customHeight="1">
      <c r="A232" s="13">
        <v>230</v>
      </c>
      <c r="B232" s="17"/>
      <c r="C232" s="14" t="s">
        <v>51</v>
      </c>
      <c r="D232" s="14" t="str">
        <f>"周李飞"</f>
        <v>周李飞</v>
      </c>
      <c r="E232" s="14" t="str">
        <f>"男"</f>
        <v>男</v>
      </c>
      <c r="F232" s="14" t="str">
        <f>"1992-09-09"</f>
        <v>1992-09-09</v>
      </c>
      <c r="G232" s="14" t="s">
        <v>27</v>
      </c>
      <c r="H232" s="14" t="s">
        <v>28</v>
      </c>
      <c r="I232" s="23" t="s">
        <v>30</v>
      </c>
    </row>
    <row r="233" spans="1:9" s="3" customFormat="1" ht="30" customHeight="1">
      <c r="A233" s="13">
        <v>231</v>
      </c>
      <c r="B233" s="17"/>
      <c r="C233" s="14" t="s">
        <v>51</v>
      </c>
      <c r="D233" s="14" t="str">
        <f>"吉秋妹"</f>
        <v>吉秋妹</v>
      </c>
      <c r="E233" s="14" t="str">
        <f aca="true" t="shared" si="30" ref="E233:E254">"女"</f>
        <v>女</v>
      </c>
      <c r="F233" s="14" t="str">
        <f>"1992-09-29"</f>
        <v>1992-09-29</v>
      </c>
      <c r="G233" s="14" t="s">
        <v>12</v>
      </c>
      <c r="H233" s="14" t="s">
        <v>31</v>
      </c>
      <c r="I233" s="14" t="s">
        <v>29</v>
      </c>
    </row>
    <row r="234" spans="1:9" s="3" customFormat="1" ht="30" customHeight="1">
      <c r="A234" s="13">
        <v>232</v>
      </c>
      <c r="B234" s="17"/>
      <c r="C234" s="14" t="s">
        <v>51</v>
      </c>
      <c r="D234" s="14" t="str">
        <f>"韦惠红"</f>
        <v>韦惠红</v>
      </c>
      <c r="E234" s="14" t="str">
        <f t="shared" si="30"/>
        <v>女</v>
      </c>
      <c r="F234" s="14" t="str">
        <f>"1990-06-12"</f>
        <v>1990-06-12</v>
      </c>
      <c r="G234" s="14" t="s">
        <v>12</v>
      </c>
      <c r="H234" s="14" t="s">
        <v>31</v>
      </c>
      <c r="I234" s="14" t="s">
        <v>29</v>
      </c>
    </row>
    <row r="235" spans="1:9" s="3" customFormat="1" ht="30" customHeight="1">
      <c r="A235" s="13">
        <v>233</v>
      </c>
      <c r="B235" s="17"/>
      <c r="C235" s="14" t="s">
        <v>51</v>
      </c>
      <c r="D235" s="14" t="str">
        <f>"陈晶晶"</f>
        <v>陈晶晶</v>
      </c>
      <c r="E235" s="14" t="str">
        <f t="shared" si="30"/>
        <v>女</v>
      </c>
      <c r="F235" s="14" t="str">
        <f>"1989-05-21"</f>
        <v>1989-05-21</v>
      </c>
      <c r="G235" s="14" t="s">
        <v>27</v>
      </c>
      <c r="H235" s="14" t="s">
        <v>28</v>
      </c>
      <c r="I235" s="23" t="s">
        <v>30</v>
      </c>
    </row>
    <row r="236" spans="1:9" s="3" customFormat="1" ht="30" customHeight="1">
      <c r="A236" s="13">
        <v>234</v>
      </c>
      <c r="B236" s="17"/>
      <c r="C236" s="14" t="s">
        <v>51</v>
      </c>
      <c r="D236" s="14" t="str">
        <f>"黄祖萍"</f>
        <v>黄祖萍</v>
      </c>
      <c r="E236" s="14" t="str">
        <f t="shared" si="30"/>
        <v>女</v>
      </c>
      <c r="F236" s="14" t="str">
        <f>"1992-03-20"</f>
        <v>1992-03-20</v>
      </c>
      <c r="G236" s="14" t="s">
        <v>12</v>
      </c>
      <c r="H236" s="14" t="s">
        <v>31</v>
      </c>
      <c r="I236" s="14" t="s">
        <v>29</v>
      </c>
    </row>
    <row r="237" spans="1:9" s="3" customFormat="1" ht="30" customHeight="1">
      <c r="A237" s="13">
        <v>235</v>
      </c>
      <c r="B237" s="17"/>
      <c r="C237" s="14" t="s">
        <v>51</v>
      </c>
      <c r="D237" s="14" t="str">
        <f>"黄菲"</f>
        <v>黄菲</v>
      </c>
      <c r="E237" s="14" t="str">
        <f t="shared" si="30"/>
        <v>女</v>
      </c>
      <c r="F237" s="14" t="str">
        <f>"1996-05-01"</f>
        <v>1996-05-01</v>
      </c>
      <c r="G237" s="14" t="s">
        <v>27</v>
      </c>
      <c r="H237" s="14" t="s">
        <v>28</v>
      </c>
      <c r="I237" s="23" t="s">
        <v>30</v>
      </c>
    </row>
    <row r="238" spans="1:9" s="3" customFormat="1" ht="30" customHeight="1">
      <c r="A238" s="13">
        <v>236</v>
      </c>
      <c r="B238" s="17"/>
      <c r="C238" s="14" t="s">
        <v>51</v>
      </c>
      <c r="D238" s="14" t="str">
        <f>"邓佳美"</f>
        <v>邓佳美</v>
      </c>
      <c r="E238" s="14" t="str">
        <f t="shared" si="30"/>
        <v>女</v>
      </c>
      <c r="F238" s="14" t="str">
        <f>"1994-11-25"</f>
        <v>1994-11-25</v>
      </c>
      <c r="G238" s="14" t="s">
        <v>27</v>
      </c>
      <c r="H238" s="14" t="s">
        <v>28</v>
      </c>
      <c r="I238" s="14" t="s">
        <v>29</v>
      </c>
    </row>
    <row r="239" spans="1:9" s="3" customFormat="1" ht="30" customHeight="1">
      <c r="A239" s="13">
        <v>237</v>
      </c>
      <c r="B239" s="17"/>
      <c r="C239" s="14" t="s">
        <v>51</v>
      </c>
      <c r="D239" s="14" t="str">
        <f>"邹凤茜"</f>
        <v>邹凤茜</v>
      </c>
      <c r="E239" s="14" t="str">
        <f t="shared" si="30"/>
        <v>女</v>
      </c>
      <c r="F239" s="14" t="str">
        <f>"1997-10-23"</f>
        <v>1997-10-23</v>
      </c>
      <c r="G239" s="14" t="s">
        <v>27</v>
      </c>
      <c r="H239" s="14" t="s">
        <v>28</v>
      </c>
      <c r="I239" s="23" t="s">
        <v>30</v>
      </c>
    </row>
    <row r="240" spans="1:9" s="3" customFormat="1" ht="30" customHeight="1">
      <c r="A240" s="13">
        <v>238</v>
      </c>
      <c r="B240" s="17"/>
      <c r="C240" s="14" t="s">
        <v>51</v>
      </c>
      <c r="D240" s="14" t="str">
        <f>"黄雅莉"</f>
        <v>黄雅莉</v>
      </c>
      <c r="E240" s="14" t="str">
        <f t="shared" si="30"/>
        <v>女</v>
      </c>
      <c r="F240" s="14" t="str">
        <f>"1996-12-01"</f>
        <v>1996-12-01</v>
      </c>
      <c r="G240" s="14" t="s">
        <v>27</v>
      </c>
      <c r="H240" s="14" t="s">
        <v>28</v>
      </c>
      <c r="I240" s="23" t="s">
        <v>30</v>
      </c>
    </row>
    <row r="241" spans="1:9" s="3" customFormat="1" ht="30" customHeight="1">
      <c r="A241" s="13">
        <v>239</v>
      </c>
      <c r="B241" s="17"/>
      <c r="C241" s="14" t="s">
        <v>51</v>
      </c>
      <c r="D241" s="14" t="str">
        <f>"郑秋婷"</f>
        <v>郑秋婷</v>
      </c>
      <c r="E241" s="14" t="str">
        <f t="shared" si="30"/>
        <v>女</v>
      </c>
      <c r="F241" s="14" t="str">
        <f>"1989-10-02"</f>
        <v>1989-10-02</v>
      </c>
      <c r="G241" s="14" t="s">
        <v>12</v>
      </c>
      <c r="H241" s="14" t="s">
        <v>31</v>
      </c>
      <c r="I241" s="14" t="s">
        <v>29</v>
      </c>
    </row>
    <row r="242" spans="1:9" s="3" customFormat="1" ht="30" customHeight="1">
      <c r="A242" s="13">
        <v>240</v>
      </c>
      <c r="B242" s="17"/>
      <c r="C242" s="14" t="s">
        <v>51</v>
      </c>
      <c r="D242" s="14" t="str">
        <f>"许莲霞"</f>
        <v>许莲霞</v>
      </c>
      <c r="E242" s="14" t="str">
        <f t="shared" si="30"/>
        <v>女</v>
      </c>
      <c r="F242" s="14" t="str">
        <f>"1990-08-14"</f>
        <v>1990-08-14</v>
      </c>
      <c r="G242" s="14" t="s">
        <v>12</v>
      </c>
      <c r="H242" s="14" t="s">
        <v>31</v>
      </c>
      <c r="I242" s="14" t="s">
        <v>29</v>
      </c>
    </row>
    <row r="243" spans="1:9" s="3" customFormat="1" ht="30" customHeight="1">
      <c r="A243" s="13">
        <v>241</v>
      </c>
      <c r="B243" s="17"/>
      <c r="C243" s="14" t="s">
        <v>51</v>
      </c>
      <c r="D243" s="14" t="str">
        <f>"符喜英"</f>
        <v>符喜英</v>
      </c>
      <c r="E243" s="14" t="str">
        <f t="shared" si="30"/>
        <v>女</v>
      </c>
      <c r="F243" s="14" t="str">
        <f>"1997-10-11"</f>
        <v>1997-10-11</v>
      </c>
      <c r="G243" s="14" t="s">
        <v>27</v>
      </c>
      <c r="H243" s="14" t="s">
        <v>28</v>
      </c>
      <c r="I243" s="23" t="s">
        <v>30</v>
      </c>
    </row>
    <row r="244" spans="1:9" s="3" customFormat="1" ht="30" customHeight="1">
      <c r="A244" s="13">
        <v>242</v>
      </c>
      <c r="B244" s="17"/>
      <c r="C244" s="14" t="s">
        <v>51</v>
      </c>
      <c r="D244" s="14" t="str">
        <f>"容亚愉"</f>
        <v>容亚愉</v>
      </c>
      <c r="E244" s="14" t="str">
        <f t="shared" si="30"/>
        <v>女</v>
      </c>
      <c r="F244" s="14" t="str">
        <f>"1997-01-20"</f>
        <v>1997-01-20</v>
      </c>
      <c r="G244" s="14" t="s">
        <v>27</v>
      </c>
      <c r="H244" s="14" t="s">
        <v>28</v>
      </c>
      <c r="I244" s="23" t="s">
        <v>30</v>
      </c>
    </row>
    <row r="245" spans="1:9" s="3" customFormat="1" ht="30" customHeight="1">
      <c r="A245" s="13">
        <v>243</v>
      </c>
      <c r="B245" s="17"/>
      <c r="C245" s="14" t="s">
        <v>51</v>
      </c>
      <c r="D245" s="14" t="str">
        <f>"林金凤"</f>
        <v>林金凤</v>
      </c>
      <c r="E245" s="14" t="str">
        <f t="shared" si="30"/>
        <v>女</v>
      </c>
      <c r="F245" s="14" t="str">
        <f>"1993-07-21"</f>
        <v>1993-07-21</v>
      </c>
      <c r="G245" s="14" t="s">
        <v>12</v>
      </c>
      <c r="H245" s="14" t="s">
        <v>31</v>
      </c>
      <c r="I245" s="23" t="s">
        <v>30</v>
      </c>
    </row>
    <row r="246" spans="1:9" s="3" customFormat="1" ht="30" customHeight="1">
      <c r="A246" s="13">
        <v>244</v>
      </c>
      <c r="B246" s="17"/>
      <c r="C246" s="14" t="s">
        <v>51</v>
      </c>
      <c r="D246" s="14" t="str">
        <f>"文俊莲"</f>
        <v>文俊莲</v>
      </c>
      <c r="E246" s="14" t="str">
        <f t="shared" si="30"/>
        <v>女</v>
      </c>
      <c r="F246" s="14" t="str">
        <f>"1995-05-01"</f>
        <v>1995-05-01</v>
      </c>
      <c r="G246" s="14" t="s">
        <v>27</v>
      </c>
      <c r="H246" s="14" t="s">
        <v>28</v>
      </c>
      <c r="I246" s="14" t="s">
        <v>29</v>
      </c>
    </row>
    <row r="247" spans="1:9" s="3" customFormat="1" ht="30" customHeight="1">
      <c r="A247" s="13">
        <v>245</v>
      </c>
      <c r="B247" s="17"/>
      <c r="C247" s="14" t="s">
        <v>51</v>
      </c>
      <c r="D247" s="14" t="str">
        <f>"陈妹"</f>
        <v>陈妹</v>
      </c>
      <c r="E247" s="14" t="str">
        <f t="shared" si="30"/>
        <v>女</v>
      </c>
      <c r="F247" s="14" t="str">
        <f>"1995-08-09"</f>
        <v>1995-08-09</v>
      </c>
      <c r="G247" s="14" t="s">
        <v>27</v>
      </c>
      <c r="H247" s="14" t="s">
        <v>28</v>
      </c>
      <c r="I247" s="23" t="s">
        <v>30</v>
      </c>
    </row>
    <row r="248" spans="1:9" s="3" customFormat="1" ht="30" customHeight="1">
      <c r="A248" s="13">
        <v>246</v>
      </c>
      <c r="B248" s="17"/>
      <c r="C248" s="14" t="s">
        <v>51</v>
      </c>
      <c r="D248" s="14" t="str">
        <f>"吴和友"</f>
        <v>吴和友</v>
      </c>
      <c r="E248" s="14" t="str">
        <f t="shared" si="30"/>
        <v>女</v>
      </c>
      <c r="F248" s="14" t="str">
        <f>"1990-09-26"</f>
        <v>1990-09-26</v>
      </c>
      <c r="G248" s="14" t="s">
        <v>27</v>
      </c>
      <c r="H248" s="14" t="s">
        <v>28</v>
      </c>
      <c r="I248" s="23" t="s">
        <v>30</v>
      </c>
    </row>
    <row r="249" spans="1:9" s="3" customFormat="1" ht="30" customHeight="1">
      <c r="A249" s="13">
        <v>247</v>
      </c>
      <c r="B249" s="17"/>
      <c r="C249" s="14" t="s">
        <v>51</v>
      </c>
      <c r="D249" s="14" t="str">
        <f>"郑彩娟"</f>
        <v>郑彩娟</v>
      </c>
      <c r="E249" s="14" t="str">
        <f t="shared" si="30"/>
        <v>女</v>
      </c>
      <c r="F249" s="14" t="str">
        <f>"2000-08-06"</f>
        <v>2000-08-06</v>
      </c>
      <c r="G249" s="14" t="s">
        <v>12</v>
      </c>
      <c r="H249" s="14" t="s">
        <v>31</v>
      </c>
      <c r="I249" s="23" t="s">
        <v>30</v>
      </c>
    </row>
    <row r="250" spans="1:9" s="3" customFormat="1" ht="30" customHeight="1">
      <c r="A250" s="13">
        <v>248</v>
      </c>
      <c r="B250" s="17"/>
      <c r="C250" s="14" t="s">
        <v>51</v>
      </c>
      <c r="D250" s="14" t="str">
        <f>"王海妮"</f>
        <v>王海妮</v>
      </c>
      <c r="E250" s="14" t="str">
        <f t="shared" si="30"/>
        <v>女</v>
      </c>
      <c r="F250" s="14" t="str">
        <f>"2000-11-23"</f>
        <v>2000-11-23</v>
      </c>
      <c r="G250" s="14" t="s">
        <v>27</v>
      </c>
      <c r="H250" s="14" t="s">
        <v>28</v>
      </c>
      <c r="I250" s="23" t="s">
        <v>30</v>
      </c>
    </row>
    <row r="251" spans="1:9" s="3" customFormat="1" ht="30" customHeight="1">
      <c r="A251" s="13">
        <v>249</v>
      </c>
      <c r="B251" s="17"/>
      <c r="C251" s="14" t="s">
        <v>51</v>
      </c>
      <c r="D251" s="14" t="str">
        <f>"邢娜芳"</f>
        <v>邢娜芳</v>
      </c>
      <c r="E251" s="14" t="str">
        <f t="shared" si="30"/>
        <v>女</v>
      </c>
      <c r="F251" s="14" t="str">
        <f>"1992-12-27"</f>
        <v>1992-12-27</v>
      </c>
      <c r="G251" s="14" t="s">
        <v>27</v>
      </c>
      <c r="H251" s="14" t="s">
        <v>28</v>
      </c>
      <c r="I251" s="23" t="s">
        <v>30</v>
      </c>
    </row>
    <row r="252" spans="1:9" s="3" customFormat="1" ht="30" customHeight="1">
      <c r="A252" s="13">
        <v>250</v>
      </c>
      <c r="B252" s="17"/>
      <c r="C252" s="14" t="s">
        <v>51</v>
      </c>
      <c r="D252" s="14" t="str">
        <f>"李文荟"</f>
        <v>李文荟</v>
      </c>
      <c r="E252" s="14" t="str">
        <f t="shared" si="30"/>
        <v>女</v>
      </c>
      <c r="F252" s="14" t="str">
        <f>"1998-09-30"</f>
        <v>1998-09-30</v>
      </c>
      <c r="G252" s="14" t="s">
        <v>27</v>
      </c>
      <c r="H252" s="14" t="s">
        <v>28</v>
      </c>
      <c r="I252" s="23" t="s">
        <v>30</v>
      </c>
    </row>
    <row r="253" spans="1:9" s="3" customFormat="1" ht="30" customHeight="1">
      <c r="A253" s="13">
        <v>251</v>
      </c>
      <c r="B253" s="17"/>
      <c r="C253" s="14" t="s">
        <v>51</v>
      </c>
      <c r="D253" s="14" t="str">
        <f>"陈雨"</f>
        <v>陈雨</v>
      </c>
      <c r="E253" s="14" t="str">
        <f t="shared" si="30"/>
        <v>女</v>
      </c>
      <c r="F253" s="14" t="str">
        <f>"2000-05-03"</f>
        <v>2000-05-03</v>
      </c>
      <c r="G253" s="14" t="s">
        <v>27</v>
      </c>
      <c r="H253" s="14" t="s">
        <v>28</v>
      </c>
      <c r="I253" s="23" t="s">
        <v>30</v>
      </c>
    </row>
    <row r="254" spans="1:9" s="3" customFormat="1" ht="30" customHeight="1">
      <c r="A254" s="13">
        <v>252</v>
      </c>
      <c r="B254" s="17"/>
      <c r="C254" s="14" t="s">
        <v>51</v>
      </c>
      <c r="D254" s="14" t="str">
        <f>"符娇素"</f>
        <v>符娇素</v>
      </c>
      <c r="E254" s="14" t="str">
        <f t="shared" si="30"/>
        <v>女</v>
      </c>
      <c r="F254" s="14" t="str">
        <f>"1991-03-20"</f>
        <v>1991-03-20</v>
      </c>
      <c r="G254" s="14" t="s">
        <v>27</v>
      </c>
      <c r="H254" s="14" t="s">
        <v>28</v>
      </c>
      <c r="I254" s="14" t="s">
        <v>29</v>
      </c>
    </row>
    <row r="255" spans="1:9" s="3" customFormat="1" ht="30" customHeight="1">
      <c r="A255" s="13">
        <v>253</v>
      </c>
      <c r="B255" s="18"/>
      <c r="C255" s="14" t="s">
        <v>51</v>
      </c>
      <c r="D255" s="14" t="str">
        <f>"罗才禹"</f>
        <v>罗才禹</v>
      </c>
      <c r="E255" s="14" t="str">
        <f aca="true" t="shared" si="31" ref="E255:E258">"男"</f>
        <v>男</v>
      </c>
      <c r="F255" s="14" t="str">
        <f>"1999-04-30"</f>
        <v>1999-04-30</v>
      </c>
      <c r="G255" s="14" t="s">
        <v>27</v>
      </c>
      <c r="H255" s="14" t="s">
        <v>28</v>
      </c>
      <c r="I255" s="23" t="s">
        <v>30</v>
      </c>
    </row>
    <row r="256" spans="1:9" s="3" customFormat="1" ht="30" customHeight="1">
      <c r="A256" s="13">
        <v>254</v>
      </c>
      <c r="B256" s="16" t="s">
        <v>49</v>
      </c>
      <c r="C256" s="14" t="s">
        <v>53</v>
      </c>
      <c r="D256" s="14" t="str">
        <f>"陈修娴"</f>
        <v>陈修娴</v>
      </c>
      <c r="E256" s="14" t="str">
        <f aca="true" t="shared" si="32" ref="E256:E260">"女"</f>
        <v>女</v>
      </c>
      <c r="F256" s="14" t="str">
        <f>"1993-06-28"</f>
        <v>1993-06-28</v>
      </c>
      <c r="G256" s="14" t="s">
        <v>12</v>
      </c>
      <c r="H256" s="14" t="str">
        <f>"药学"</f>
        <v>药学</v>
      </c>
      <c r="I256" s="15" t="s">
        <v>24</v>
      </c>
    </row>
    <row r="257" spans="1:9" s="3" customFormat="1" ht="30" customHeight="1">
      <c r="A257" s="13">
        <v>255</v>
      </c>
      <c r="B257" s="18"/>
      <c r="C257" s="14" t="s">
        <v>53</v>
      </c>
      <c r="D257" s="14" t="str">
        <f>"邢学源"</f>
        <v>邢学源</v>
      </c>
      <c r="E257" s="14" t="str">
        <f t="shared" si="31"/>
        <v>男</v>
      </c>
      <c r="F257" s="14" t="str">
        <f>"1998-05-29"</f>
        <v>1998-05-29</v>
      </c>
      <c r="G257" s="14" t="str">
        <f aca="true" t="shared" si="33" ref="G257:G259">"大专"</f>
        <v>大专</v>
      </c>
      <c r="H257" s="14" t="str">
        <f>"药学"</f>
        <v>药学</v>
      </c>
      <c r="I257" s="15" t="s">
        <v>23</v>
      </c>
    </row>
    <row r="258" spans="1:9" s="3" customFormat="1" ht="30" customHeight="1">
      <c r="A258" s="13">
        <v>256</v>
      </c>
      <c r="B258" s="16" t="s">
        <v>54</v>
      </c>
      <c r="C258" s="14" t="s">
        <v>55</v>
      </c>
      <c r="D258" s="14" t="str">
        <f>"林博闻"</f>
        <v>林博闻</v>
      </c>
      <c r="E258" s="14" t="str">
        <f t="shared" si="31"/>
        <v>男</v>
      </c>
      <c r="F258" s="14" t="str">
        <f>"1992-11-09"</f>
        <v>1992-11-09</v>
      </c>
      <c r="G258" s="14" t="str">
        <f t="shared" si="33"/>
        <v>大专</v>
      </c>
      <c r="H258" s="14" t="str">
        <f>"医学检验技术"</f>
        <v>医学检验技术</v>
      </c>
      <c r="I258" s="15" t="s">
        <v>56</v>
      </c>
    </row>
    <row r="259" spans="1:9" s="3" customFormat="1" ht="30" customHeight="1">
      <c r="A259" s="13">
        <v>257</v>
      </c>
      <c r="B259" s="17"/>
      <c r="C259" s="14" t="s">
        <v>55</v>
      </c>
      <c r="D259" s="14" t="str">
        <f>"黄蓓蓓"</f>
        <v>黄蓓蓓</v>
      </c>
      <c r="E259" s="14" t="str">
        <f t="shared" si="32"/>
        <v>女</v>
      </c>
      <c r="F259" s="14" t="str">
        <f>"1997-07-01"</f>
        <v>1997-07-01</v>
      </c>
      <c r="G259" s="14" t="str">
        <f t="shared" si="33"/>
        <v>大专</v>
      </c>
      <c r="H259" s="14" t="str">
        <f>"医学检验技术"</f>
        <v>医学检验技术</v>
      </c>
      <c r="I259" s="15" t="s">
        <v>57</v>
      </c>
    </row>
    <row r="260" spans="1:9" s="3" customFormat="1" ht="30" customHeight="1">
      <c r="A260" s="13">
        <v>258</v>
      </c>
      <c r="B260" s="17"/>
      <c r="C260" s="14" t="s">
        <v>55</v>
      </c>
      <c r="D260" s="14" t="str">
        <f>"符丽琼"</f>
        <v>符丽琼</v>
      </c>
      <c r="E260" s="14" t="str">
        <f t="shared" si="32"/>
        <v>女</v>
      </c>
      <c r="F260" s="14" t="str">
        <f>"1998-10-04"</f>
        <v>1998-10-04</v>
      </c>
      <c r="G260" s="14" t="s">
        <v>12</v>
      </c>
      <c r="H260" s="24" t="s">
        <v>58</v>
      </c>
      <c r="I260" s="15" t="s">
        <v>57</v>
      </c>
    </row>
    <row r="261" spans="1:9" s="3" customFormat="1" ht="30" customHeight="1">
      <c r="A261" s="13">
        <v>259</v>
      </c>
      <c r="B261" s="18"/>
      <c r="C261" s="21" t="s">
        <v>55</v>
      </c>
      <c r="D261" s="22" t="s">
        <v>59</v>
      </c>
      <c r="E261" s="21" t="s">
        <v>60</v>
      </c>
      <c r="F261" s="14" t="str">
        <f>"1994-06-28"</f>
        <v>1994-06-28</v>
      </c>
      <c r="G261" s="21" t="s">
        <v>12</v>
      </c>
      <c r="H261" s="21" t="s">
        <v>61</v>
      </c>
      <c r="I261" s="23" t="s">
        <v>57</v>
      </c>
    </row>
    <row r="262" spans="1:9" s="3" customFormat="1" ht="30" customHeight="1">
      <c r="A262" s="13">
        <v>260</v>
      </c>
      <c r="B262" s="16" t="s">
        <v>54</v>
      </c>
      <c r="C262" s="14" t="s">
        <v>62</v>
      </c>
      <c r="D262" s="14" t="str">
        <f>"王明炼"</f>
        <v>王明炼</v>
      </c>
      <c r="E262" s="14" t="str">
        <f>"男"</f>
        <v>男</v>
      </c>
      <c r="F262" s="14" t="str">
        <f>"1994-05-05"</f>
        <v>1994-05-05</v>
      </c>
      <c r="G262" s="14" t="str">
        <f>"大专"</f>
        <v>大专</v>
      </c>
      <c r="H262" s="14" t="str">
        <f>"药学"</f>
        <v>药学</v>
      </c>
      <c r="I262" s="15" t="s">
        <v>24</v>
      </c>
    </row>
    <row r="263" spans="1:9" s="3" customFormat="1" ht="30" customHeight="1">
      <c r="A263" s="13">
        <v>261</v>
      </c>
      <c r="B263" s="18"/>
      <c r="C263" s="14" t="s">
        <v>62</v>
      </c>
      <c r="D263" s="14" t="str">
        <f>"梁浪平"</f>
        <v>梁浪平</v>
      </c>
      <c r="E263" s="14" t="str">
        <f aca="true" t="shared" si="34" ref="E263:E278">"女"</f>
        <v>女</v>
      </c>
      <c r="F263" s="14" t="str">
        <f>"1991-10-04"</f>
        <v>1991-10-04</v>
      </c>
      <c r="G263" s="14" t="str">
        <f>"大专"</f>
        <v>大专</v>
      </c>
      <c r="H263" s="14" t="str">
        <f>"药学"</f>
        <v>药学</v>
      </c>
      <c r="I263" s="15" t="s">
        <v>24</v>
      </c>
    </row>
    <row r="264" spans="1:9" s="3" customFormat="1" ht="30" customHeight="1">
      <c r="A264" s="13">
        <v>262</v>
      </c>
      <c r="B264" s="16" t="s">
        <v>54</v>
      </c>
      <c r="C264" s="14" t="s">
        <v>63</v>
      </c>
      <c r="D264" s="14" t="str">
        <f>"吴学燕"</f>
        <v>吴学燕</v>
      </c>
      <c r="E264" s="14" t="str">
        <f t="shared" si="34"/>
        <v>女</v>
      </c>
      <c r="F264" s="14" t="str">
        <f>"1996-12-14"</f>
        <v>1996-12-14</v>
      </c>
      <c r="G264" s="14" t="s">
        <v>27</v>
      </c>
      <c r="H264" s="14" t="s">
        <v>28</v>
      </c>
      <c r="I264" s="14" t="s">
        <v>30</v>
      </c>
    </row>
    <row r="265" spans="1:9" s="3" customFormat="1" ht="30" customHeight="1">
      <c r="A265" s="13">
        <v>263</v>
      </c>
      <c r="B265" s="17"/>
      <c r="C265" s="14" t="s">
        <v>63</v>
      </c>
      <c r="D265" s="14" t="str">
        <f>"王燕健"</f>
        <v>王燕健</v>
      </c>
      <c r="E265" s="14" t="str">
        <f t="shared" si="34"/>
        <v>女</v>
      </c>
      <c r="F265" s="14" t="str">
        <f>"1994-09-21"</f>
        <v>1994-09-21</v>
      </c>
      <c r="G265" s="14" t="s">
        <v>12</v>
      </c>
      <c r="H265" s="14" t="s">
        <v>31</v>
      </c>
      <c r="I265" s="14" t="s">
        <v>29</v>
      </c>
    </row>
    <row r="266" spans="1:9" s="3" customFormat="1" ht="30" customHeight="1">
      <c r="A266" s="13">
        <v>264</v>
      </c>
      <c r="B266" s="17"/>
      <c r="C266" s="14" t="s">
        <v>63</v>
      </c>
      <c r="D266" s="14" t="str">
        <f>"吴静"</f>
        <v>吴静</v>
      </c>
      <c r="E266" s="14" t="str">
        <f t="shared" si="34"/>
        <v>女</v>
      </c>
      <c r="F266" s="14" t="str">
        <f>"1995-09-28"</f>
        <v>1995-09-28</v>
      </c>
      <c r="G266" s="14" t="s">
        <v>12</v>
      </c>
      <c r="H266" s="14" t="s">
        <v>31</v>
      </c>
      <c r="I266" s="14" t="s">
        <v>29</v>
      </c>
    </row>
    <row r="267" spans="1:9" s="3" customFormat="1" ht="30" customHeight="1">
      <c r="A267" s="13">
        <v>265</v>
      </c>
      <c r="B267" s="17"/>
      <c r="C267" s="14" t="s">
        <v>63</v>
      </c>
      <c r="D267" s="14" t="str">
        <f>"黄朝颜"</f>
        <v>黄朝颜</v>
      </c>
      <c r="E267" s="14" t="str">
        <f t="shared" si="34"/>
        <v>女</v>
      </c>
      <c r="F267" s="14" t="str">
        <f>"1994-01-28"</f>
        <v>1994-01-28</v>
      </c>
      <c r="G267" s="14" t="s">
        <v>12</v>
      </c>
      <c r="H267" s="14" t="s">
        <v>31</v>
      </c>
      <c r="I267" s="14" t="s">
        <v>29</v>
      </c>
    </row>
    <row r="268" spans="1:9" s="3" customFormat="1" ht="30" customHeight="1">
      <c r="A268" s="13">
        <v>266</v>
      </c>
      <c r="B268" s="17"/>
      <c r="C268" s="14" t="s">
        <v>63</v>
      </c>
      <c r="D268" s="14" t="str">
        <f>"李秀玲"</f>
        <v>李秀玲</v>
      </c>
      <c r="E268" s="14" t="str">
        <f t="shared" si="34"/>
        <v>女</v>
      </c>
      <c r="F268" s="14" t="str">
        <f>"1994-06-09"</f>
        <v>1994-06-09</v>
      </c>
      <c r="G268" s="14" t="s">
        <v>27</v>
      </c>
      <c r="H268" s="14" t="s">
        <v>28</v>
      </c>
      <c r="I268" s="14" t="s">
        <v>29</v>
      </c>
    </row>
    <row r="269" spans="1:9" s="3" customFormat="1" ht="30" customHeight="1">
      <c r="A269" s="13">
        <v>267</v>
      </c>
      <c r="B269" s="17"/>
      <c r="C269" s="14" t="s">
        <v>63</v>
      </c>
      <c r="D269" s="14" t="str">
        <f>"吉丽"</f>
        <v>吉丽</v>
      </c>
      <c r="E269" s="14" t="str">
        <f t="shared" si="34"/>
        <v>女</v>
      </c>
      <c r="F269" s="14" t="str">
        <f>"1993-03-10"</f>
        <v>1993-03-10</v>
      </c>
      <c r="G269" s="14" t="s">
        <v>12</v>
      </c>
      <c r="H269" s="14" t="s">
        <v>31</v>
      </c>
      <c r="I269" s="14" t="s">
        <v>30</v>
      </c>
    </row>
    <row r="270" spans="1:9" s="3" customFormat="1" ht="30" customHeight="1">
      <c r="A270" s="13">
        <v>268</v>
      </c>
      <c r="B270" s="17"/>
      <c r="C270" s="14" t="s">
        <v>63</v>
      </c>
      <c r="D270" s="14" t="str">
        <f>"邢锶婉"</f>
        <v>邢锶婉</v>
      </c>
      <c r="E270" s="14" t="str">
        <f t="shared" si="34"/>
        <v>女</v>
      </c>
      <c r="F270" s="14" t="str">
        <f>"1996-06-18"</f>
        <v>1996-06-18</v>
      </c>
      <c r="G270" s="14" t="s">
        <v>12</v>
      </c>
      <c r="H270" s="14" t="s">
        <v>31</v>
      </c>
      <c r="I270" s="14" t="s">
        <v>29</v>
      </c>
    </row>
    <row r="271" spans="1:9" s="3" customFormat="1" ht="30" customHeight="1">
      <c r="A271" s="13">
        <v>269</v>
      </c>
      <c r="B271" s="17"/>
      <c r="C271" s="14" t="s">
        <v>63</v>
      </c>
      <c r="D271" s="14" t="str">
        <f>"黄兴流"</f>
        <v>黄兴流</v>
      </c>
      <c r="E271" s="14" t="str">
        <f t="shared" si="34"/>
        <v>女</v>
      </c>
      <c r="F271" s="14" t="str">
        <f>"1992-12-25"</f>
        <v>1992-12-25</v>
      </c>
      <c r="G271" s="14" t="s">
        <v>27</v>
      </c>
      <c r="H271" s="14" t="s">
        <v>28</v>
      </c>
      <c r="I271" s="14" t="s">
        <v>30</v>
      </c>
    </row>
    <row r="272" spans="1:9" s="3" customFormat="1" ht="30" customHeight="1">
      <c r="A272" s="13">
        <v>270</v>
      </c>
      <c r="B272" s="17"/>
      <c r="C272" s="14" t="s">
        <v>63</v>
      </c>
      <c r="D272" s="14" t="str">
        <f>"罗吉"</f>
        <v>罗吉</v>
      </c>
      <c r="E272" s="14" t="str">
        <f t="shared" si="34"/>
        <v>女</v>
      </c>
      <c r="F272" s="14" t="str">
        <f>"1995-04-28"</f>
        <v>1995-04-28</v>
      </c>
      <c r="G272" s="14" t="s">
        <v>27</v>
      </c>
      <c r="H272" s="14" t="s">
        <v>28</v>
      </c>
      <c r="I272" s="14" t="s">
        <v>29</v>
      </c>
    </row>
    <row r="273" spans="1:9" s="3" customFormat="1" ht="30" customHeight="1">
      <c r="A273" s="13">
        <v>271</v>
      </c>
      <c r="B273" s="17"/>
      <c r="C273" s="14" t="s">
        <v>63</v>
      </c>
      <c r="D273" s="14" t="str">
        <f>"胡雪艳"</f>
        <v>胡雪艳</v>
      </c>
      <c r="E273" s="14" t="str">
        <f t="shared" si="34"/>
        <v>女</v>
      </c>
      <c r="F273" s="14" t="str">
        <f>"1995-02-15"</f>
        <v>1995-02-15</v>
      </c>
      <c r="G273" s="14" t="s">
        <v>27</v>
      </c>
      <c r="H273" s="14" t="s">
        <v>28</v>
      </c>
      <c r="I273" s="14" t="s">
        <v>29</v>
      </c>
    </row>
    <row r="274" spans="1:9" s="3" customFormat="1" ht="30" customHeight="1">
      <c r="A274" s="13">
        <v>272</v>
      </c>
      <c r="B274" s="17"/>
      <c r="C274" s="14" t="s">
        <v>63</v>
      </c>
      <c r="D274" s="14" t="str">
        <f>"吴玉妹"</f>
        <v>吴玉妹</v>
      </c>
      <c r="E274" s="14" t="str">
        <f t="shared" si="34"/>
        <v>女</v>
      </c>
      <c r="F274" s="14" t="str">
        <f>"1992-10-09"</f>
        <v>1992-10-09</v>
      </c>
      <c r="G274" s="14" t="s">
        <v>12</v>
      </c>
      <c r="H274" s="14" t="s">
        <v>31</v>
      </c>
      <c r="I274" s="14" t="s">
        <v>29</v>
      </c>
    </row>
    <row r="275" spans="1:9" s="3" customFormat="1" ht="30" customHeight="1">
      <c r="A275" s="13">
        <v>273</v>
      </c>
      <c r="B275" s="17"/>
      <c r="C275" s="14" t="s">
        <v>63</v>
      </c>
      <c r="D275" s="14" t="str">
        <f>"董沫"</f>
        <v>董沫</v>
      </c>
      <c r="E275" s="14" t="str">
        <f t="shared" si="34"/>
        <v>女</v>
      </c>
      <c r="F275" s="14" t="str">
        <f>"1994-03-30"</f>
        <v>1994-03-30</v>
      </c>
      <c r="G275" s="14" t="s">
        <v>27</v>
      </c>
      <c r="H275" s="14" t="s">
        <v>28</v>
      </c>
      <c r="I275" s="14" t="s">
        <v>30</v>
      </c>
    </row>
    <row r="276" spans="1:9" s="3" customFormat="1" ht="30" customHeight="1">
      <c r="A276" s="13">
        <v>274</v>
      </c>
      <c r="B276" s="17"/>
      <c r="C276" s="14" t="s">
        <v>63</v>
      </c>
      <c r="D276" s="14" t="str">
        <f>"王学英"</f>
        <v>王学英</v>
      </c>
      <c r="E276" s="14" t="str">
        <f t="shared" si="34"/>
        <v>女</v>
      </c>
      <c r="F276" s="14" t="str">
        <f>"1999-04-18"</f>
        <v>1999-04-18</v>
      </c>
      <c r="G276" s="14" t="s">
        <v>27</v>
      </c>
      <c r="H276" s="14" t="s">
        <v>28</v>
      </c>
      <c r="I276" s="14" t="s">
        <v>30</v>
      </c>
    </row>
    <row r="277" spans="1:9" s="3" customFormat="1" ht="30" customHeight="1">
      <c r="A277" s="13">
        <v>275</v>
      </c>
      <c r="B277" s="17"/>
      <c r="C277" s="14" t="s">
        <v>63</v>
      </c>
      <c r="D277" s="14" t="str">
        <f>"王春花"</f>
        <v>王春花</v>
      </c>
      <c r="E277" s="14" t="str">
        <f t="shared" si="34"/>
        <v>女</v>
      </c>
      <c r="F277" s="14" t="str">
        <f>"1998-02-18"</f>
        <v>1998-02-18</v>
      </c>
      <c r="G277" s="14" t="s">
        <v>27</v>
      </c>
      <c r="H277" s="14" t="s">
        <v>28</v>
      </c>
      <c r="I277" s="14" t="s">
        <v>30</v>
      </c>
    </row>
    <row r="278" spans="1:9" s="3" customFormat="1" ht="30" customHeight="1">
      <c r="A278" s="13">
        <v>276</v>
      </c>
      <c r="B278" s="17"/>
      <c r="C278" s="14" t="s">
        <v>63</v>
      </c>
      <c r="D278" s="14" t="str">
        <f>"吴转凤"</f>
        <v>吴转凤</v>
      </c>
      <c r="E278" s="14" t="str">
        <f t="shared" si="34"/>
        <v>女</v>
      </c>
      <c r="F278" s="14" t="str">
        <f>"1991-09-26"</f>
        <v>1991-09-26</v>
      </c>
      <c r="G278" s="14" t="s">
        <v>12</v>
      </c>
      <c r="H278" s="14" t="s">
        <v>31</v>
      </c>
      <c r="I278" s="14" t="s">
        <v>30</v>
      </c>
    </row>
    <row r="279" spans="1:9" s="3" customFormat="1" ht="30" customHeight="1">
      <c r="A279" s="13">
        <v>277</v>
      </c>
      <c r="B279" s="17"/>
      <c r="C279" s="14" t="s">
        <v>63</v>
      </c>
      <c r="D279" s="14" t="str">
        <f>"吴一鑫"</f>
        <v>吴一鑫</v>
      </c>
      <c r="E279" s="14" t="str">
        <f>"男"</f>
        <v>男</v>
      </c>
      <c r="F279" s="14" t="str">
        <f>"1996-04-20"</f>
        <v>1996-04-20</v>
      </c>
      <c r="G279" s="14" t="s">
        <v>27</v>
      </c>
      <c r="H279" s="14" t="s">
        <v>28</v>
      </c>
      <c r="I279" s="14" t="s">
        <v>30</v>
      </c>
    </row>
    <row r="280" spans="1:9" s="3" customFormat="1" ht="30" customHeight="1">
      <c r="A280" s="13">
        <v>278</v>
      </c>
      <c r="B280" s="17"/>
      <c r="C280" s="14" t="s">
        <v>63</v>
      </c>
      <c r="D280" s="14" t="str">
        <f>"陆加明"</f>
        <v>陆加明</v>
      </c>
      <c r="E280" s="14" t="str">
        <f>"男"</f>
        <v>男</v>
      </c>
      <c r="F280" s="14" t="str">
        <f>"1998-08-01"</f>
        <v>1998-08-01</v>
      </c>
      <c r="G280" s="14" t="s">
        <v>27</v>
      </c>
      <c r="H280" s="14" t="s">
        <v>28</v>
      </c>
      <c r="I280" s="14" t="s">
        <v>30</v>
      </c>
    </row>
    <row r="281" spans="1:9" s="3" customFormat="1" ht="30" customHeight="1">
      <c r="A281" s="13">
        <v>279</v>
      </c>
      <c r="B281" s="17"/>
      <c r="C281" s="14" t="s">
        <v>63</v>
      </c>
      <c r="D281" s="14" t="str">
        <f>"刘亚亲"</f>
        <v>刘亚亲</v>
      </c>
      <c r="E281" s="14" t="str">
        <f aca="true" t="shared" si="35" ref="E281:E309">"女"</f>
        <v>女</v>
      </c>
      <c r="F281" s="14" t="str">
        <f>"1994-07-05"</f>
        <v>1994-07-05</v>
      </c>
      <c r="G281" s="14" t="s">
        <v>27</v>
      </c>
      <c r="H281" s="14" t="s">
        <v>28</v>
      </c>
      <c r="I281" s="14" t="s">
        <v>29</v>
      </c>
    </row>
    <row r="282" spans="1:9" s="3" customFormat="1" ht="30" customHeight="1">
      <c r="A282" s="13">
        <v>280</v>
      </c>
      <c r="B282" s="17"/>
      <c r="C282" s="14" t="s">
        <v>63</v>
      </c>
      <c r="D282" s="14" t="str">
        <f>"郭晶晶"</f>
        <v>郭晶晶</v>
      </c>
      <c r="E282" s="14" t="str">
        <f t="shared" si="35"/>
        <v>女</v>
      </c>
      <c r="F282" s="14" t="str">
        <f>"1994-02-09"</f>
        <v>1994-02-09</v>
      </c>
      <c r="G282" s="14" t="s">
        <v>12</v>
      </c>
      <c r="H282" s="14" t="s">
        <v>28</v>
      </c>
      <c r="I282" s="14" t="s">
        <v>29</v>
      </c>
    </row>
    <row r="283" spans="1:9" s="3" customFormat="1" ht="30" customHeight="1">
      <c r="A283" s="13">
        <v>281</v>
      </c>
      <c r="B283" s="17"/>
      <c r="C283" s="14" t="s">
        <v>63</v>
      </c>
      <c r="D283" s="14" t="str">
        <f>"王小燕"</f>
        <v>王小燕</v>
      </c>
      <c r="E283" s="14" t="str">
        <f t="shared" si="35"/>
        <v>女</v>
      </c>
      <c r="F283" s="14" t="str">
        <f>"1997-06-15"</f>
        <v>1997-06-15</v>
      </c>
      <c r="G283" s="14" t="s">
        <v>27</v>
      </c>
      <c r="H283" s="14" t="s">
        <v>28</v>
      </c>
      <c r="I283" s="14" t="s">
        <v>29</v>
      </c>
    </row>
    <row r="284" spans="1:9" s="3" customFormat="1" ht="30" customHeight="1">
      <c r="A284" s="13">
        <v>282</v>
      </c>
      <c r="B284" s="17"/>
      <c r="C284" s="14" t="s">
        <v>63</v>
      </c>
      <c r="D284" s="14" t="str">
        <f>"郑春菊"</f>
        <v>郑春菊</v>
      </c>
      <c r="E284" s="14" t="str">
        <f t="shared" si="35"/>
        <v>女</v>
      </c>
      <c r="F284" s="14" t="str">
        <f>"1995-02-11"</f>
        <v>1995-02-11</v>
      </c>
      <c r="G284" s="14" t="s">
        <v>12</v>
      </c>
      <c r="H284" s="14" t="s">
        <v>31</v>
      </c>
      <c r="I284" s="14" t="s">
        <v>29</v>
      </c>
    </row>
    <row r="285" spans="1:9" s="3" customFormat="1" ht="30" customHeight="1">
      <c r="A285" s="13">
        <v>283</v>
      </c>
      <c r="B285" s="17"/>
      <c r="C285" s="14" t="s">
        <v>63</v>
      </c>
      <c r="D285" s="14" t="str">
        <f>"王冬妍"</f>
        <v>王冬妍</v>
      </c>
      <c r="E285" s="14" t="str">
        <f t="shared" si="35"/>
        <v>女</v>
      </c>
      <c r="F285" s="14" t="str">
        <f>"1997-01-29"</f>
        <v>1997-01-29</v>
      </c>
      <c r="G285" s="14" t="s">
        <v>27</v>
      </c>
      <c r="H285" s="14" t="s">
        <v>28</v>
      </c>
      <c r="I285" s="14" t="s">
        <v>30</v>
      </c>
    </row>
    <row r="286" spans="1:9" s="3" customFormat="1" ht="30" customHeight="1">
      <c r="A286" s="13">
        <v>284</v>
      </c>
      <c r="B286" s="17"/>
      <c r="C286" s="14" t="s">
        <v>63</v>
      </c>
      <c r="D286" s="14" t="str">
        <f>"文霜"</f>
        <v>文霜</v>
      </c>
      <c r="E286" s="14" t="str">
        <f t="shared" si="35"/>
        <v>女</v>
      </c>
      <c r="F286" s="14" t="str">
        <f>"2000-06-16"</f>
        <v>2000-06-16</v>
      </c>
      <c r="G286" s="14" t="s">
        <v>27</v>
      </c>
      <c r="H286" s="14" t="s">
        <v>28</v>
      </c>
      <c r="I286" s="14" t="s">
        <v>30</v>
      </c>
    </row>
    <row r="287" spans="1:9" s="3" customFormat="1" ht="30" customHeight="1">
      <c r="A287" s="13">
        <v>285</v>
      </c>
      <c r="B287" s="17"/>
      <c r="C287" s="14" t="s">
        <v>63</v>
      </c>
      <c r="D287" s="14" t="str">
        <f>"韦婷"</f>
        <v>韦婷</v>
      </c>
      <c r="E287" s="14" t="str">
        <f t="shared" si="35"/>
        <v>女</v>
      </c>
      <c r="F287" s="14" t="str">
        <f>"1992-01-27"</f>
        <v>1992-01-27</v>
      </c>
      <c r="G287" s="14" t="s">
        <v>12</v>
      </c>
      <c r="H287" s="14" t="s">
        <v>31</v>
      </c>
      <c r="I287" s="14" t="s">
        <v>29</v>
      </c>
    </row>
    <row r="288" spans="1:9" s="3" customFormat="1" ht="30" customHeight="1">
      <c r="A288" s="13">
        <v>286</v>
      </c>
      <c r="B288" s="17"/>
      <c r="C288" s="14" t="s">
        <v>63</v>
      </c>
      <c r="D288" s="14" t="str">
        <f>"周丽环"</f>
        <v>周丽环</v>
      </c>
      <c r="E288" s="14" t="str">
        <f t="shared" si="35"/>
        <v>女</v>
      </c>
      <c r="F288" s="14" t="str">
        <f>"1996-12-12"</f>
        <v>1996-12-12</v>
      </c>
      <c r="G288" s="14" t="s">
        <v>27</v>
      </c>
      <c r="H288" s="14" t="s">
        <v>28</v>
      </c>
      <c r="I288" s="14" t="s">
        <v>30</v>
      </c>
    </row>
    <row r="289" spans="1:9" s="3" customFormat="1" ht="30" customHeight="1">
      <c r="A289" s="13">
        <v>287</v>
      </c>
      <c r="B289" s="17"/>
      <c r="C289" s="14" t="s">
        <v>63</v>
      </c>
      <c r="D289" s="14" t="str">
        <f>"刘金妹"</f>
        <v>刘金妹</v>
      </c>
      <c r="E289" s="14" t="str">
        <f t="shared" si="35"/>
        <v>女</v>
      </c>
      <c r="F289" s="14" t="str">
        <f>"1993-10-05"</f>
        <v>1993-10-05</v>
      </c>
      <c r="G289" s="14" t="s">
        <v>27</v>
      </c>
      <c r="H289" s="14" t="s">
        <v>28</v>
      </c>
      <c r="I289" s="14" t="s">
        <v>29</v>
      </c>
    </row>
    <row r="290" spans="1:9" s="3" customFormat="1" ht="30" customHeight="1">
      <c r="A290" s="13">
        <v>288</v>
      </c>
      <c r="B290" s="17"/>
      <c r="C290" s="14" t="s">
        <v>63</v>
      </c>
      <c r="D290" s="14" t="str">
        <f>"李嘉"</f>
        <v>李嘉</v>
      </c>
      <c r="E290" s="14" t="str">
        <f t="shared" si="35"/>
        <v>女</v>
      </c>
      <c r="F290" s="14" t="str">
        <f>"1993-03-26"</f>
        <v>1993-03-26</v>
      </c>
      <c r="G290" s="14" t="s">
        <v>12</v>
      </c>
      <c r="H290" s="14" t="s">
        <v>31</v>
      </c>
      <c r="I290" s="14" t="s">
        <v>29</v>
      </c>
    </row>
    <row r="291" spans="1:9" s="3" customFormat="1" ht="30" customHeight="1">
      <c r="A291" s="13">
        <v>289</v>
      </c>
      <c r="B291" s="17"/>
      <c r="C291" s="14" t="s">
        <v>63</v>
      </c>
      <c r="D291" s="14" t="str">
        <f>"黄靖宜"</f>
        <v>黄靖宜</v>
      </c>
      <c r="E291" s="14" t="str">
        <f t="shared" si="35"/>
        <v>女</v>
      </c>
      <c r="F291" s="14" t="str">
        <f>"1994-09-29"</f>
        <v>1994-09-29</v>
      </c>
      <c r="G291" s="14" t="s">
        <v>12</v>
      </c>
      <c r="H291" s="14" t="s">
        <v>31</v>
      </c>
      <c r="I291" s="14" t="s">
        <v>29</v>
      </c>
    </row>
    <row r="292" spans="1:9" s="3" customFormat="1" ht="30" customHeight="1">
      <c r="A292" s="13">
        <v>290</v>
      </c>
      <c r="B292" s="17"/>
      <c r="C292" s="14" t="s">
        <v>63</v>
      </c>
      <c r="D292" s="14" t="str">
        <f>"黎艳"</f>
        <v>黎艳</v>
      </c>
      <c r="E292" s="14" t="str">
        <f t="shared" si="35"/>
        <v>女</v>
      </c>
      <c r="F292" s="14" t="str">
        <f>"1994-08-24"</f>
        <v>1994-08-24</v>
      </c>
      <c r="G292" s="14" t="s">
        <v>27</v>
      </c>
      <c r="H292" s="14" t="s">
        <v>28</v>
      </c>
      <c r="I292" s="14" t="s">
        <v>29</v>
      </c>
    </row>
    <row r="293" spans="1:9" s="3" customFormat="1" ht="30" customHeight="1">
      <c r="A293" s="13">
        <v>291</v>
      </c>
      <c r="B293" s="17"/>
      <c r="C293" s="14" t="s">
        <v>63</v>
      </c>
      <c r="D293" s="14" t="str">
        <f>"吴致"</f>
        <v>吴致</v>
      </c>
      <c r="E293" s="14" t="str">
        <f t="shared" si="35"/>
        <v>女</v>
      </c>
      <c r="F293" s="14" t="str">
        <f>"1992-09-24"</f>
        <v>1992-09-24</v>
      </c>
      <c r="G293" s="14" t="s">
        <v>12</v>
      </c>
      <c r="H293" s="14" t="s">
        <v>31</v>
      </c>
      <c r="I293" s="14" t="s">
        <v>29</v>
      </c>
    </row>
    <row r="294" spans="1:9" s="3" customFormat="1" ht="30" customHeight="1">
      <c r="A294" s="13">
        <v>292</v>
      </c>
      <c r="B294" s="17"/>
      <c r="C294" s="14" t="s">
        <v>63</v>
      </c>
      <c r="D294" s="14" t="str">
        <f>"黄艳美"</f>
        <v>黄艳美</v>
      </c>
      <c r="E294" s="14" t="str">
        <f t="shared" si="35"/>
        <v>女</v>
      </c>
      <c r="F294" s="14" t="str">
        <f>"1997-06-26"</f>
        <v>1997-06-26</v>
      </c>
      <c r="G294" s="14" t="s">
        <v>27</v>
      </c>
      <c r="H294" s="14" t="s">
        <v>28</v>
      </c>
      <c r="I294" s="14" t="s">
        <v>30</v>
      </c>
    </row>
    <row r="295" spans="1:9" s="3" customFormat="1" ht="30" customHeight="1">
      <c r="A295" s="13">
        <v>293</v>
      </c>
      <c r="B295" s="17"/>
      <c r="C295" s="14" t="s">
        <v>63</v>
      </c>
      <c r="D295" s="14" t="str">
        <f>"胡丽婉"</f>
        <v>胡丽婉</v>
      </c>
      <c r="E295" s="14" t="str">
        <f t="shared" si="35"/>
        <v>女</v>
      </c>
      <c r="F295" s="14" t="str">
        <f>"1994-05-13"</f>
        <v>1994-05-13</v>
      </c>
      <c r="G295" s="14" t="s">
        <v>27</v>
      </c>
      <c r="H295" s="14" t="s">
        <v>28</v>
      </c>
      <c r="I295" s="14" t="s">
        <v>30</v>
      </c>
    </row>
    <row r="296" spans="1:9" s="3" customFormat="1" ht="30" customHeight="1">
      <c r="A296" s="13">
        <v>294</v>
      </c>
      <c r="B296" s="17"/>
      <c r="C296" s="14" t="s">
        <v>63</v>
      </c>
      <c r="D296" s="14" t="str">
        <f>"曹妍妍"</f>
        <v>曹妍妍</v>
      </c>
      <c r="E296" s="14" t="str">
        <f t="shared" si="35"/>
        <v>女</v>
      </c>
      <c r="F296" s="14" t="str">
        <f>"1992-09-11"</f>
        <v>1992-09-11</v>
      </c>
      <c r="G296" s="14" t="s">
        <v>27</v>
      </c>
      <c r="H296" s="14" t="s">
        <v>28</v>
      </c>
      <c r="I296" s="14" t="s">
        <v>29</v>
      </c>
    </row>
    <row r="297" spans="1:9" s="3" customFormat="1" ht="30" customHeight="1">
      <c r="A297" s="13">
        <v>295</v>
      </c>
      <c r="B297" s="17"/>
      <c r="C297" s="14" t="s">
        <v>63</v>
      </c>
      <c r="D297" s="14" t="str">
        <f>"高朝群"</f>
        <v>高朝群</v>
      </c>
      <c r="E297" s="14" t="str">
        <f t="shared" si="35"/>
        <v>女</v>
      </c>
      <c r="F297" s="14" t="str">
        <f>"1996-03-06"</f>
        <v>1996-03-06</v>
      </c>
      <c r="G297" s="14" t="s">
        <v>27</v>
      </c>
      <c r="H297" s="14" t="s">
        <v>28</v>
      </c>
      <c r="I297" s="14" t="s">
        <v>29</v>
      </c>
    </row>
    <row r="298" spans="1:9" s="3" customFormat="1" ht="30" customHeight="1">
      <c r="A298" s="13">
        <v>296</v>
      </c>
      <c r="B298" s="17"/>
      <c r="C298" s="14" t="s">
        <v>63</v>
      </c>
      <c r="D298" s="14" t="str">
        <f>"田冲冲"</f>
        <v>田冲冲</v>
      </c>
      <c r="E298" s="14" t="str">
        <f t="shared" si="35"/>
        <v>女</v>
      </c>
      <c r="F298" s="14" t="str">
        <f>"2000-10-25"</f>
        <v>2000-10-25</v>
      </c>
      <c r="G298" s="14" t="s">
        <v>27</v>
      </c>
      <c r="H298" s="14" t="s">
        <v>28</v>
      </c>
      <c r="I298" s="14" t="s">
        <v>30</v>
      </c>
    </row>
    <row r="299" spans="1:9" s="3" customFormat="1" ht="30" customHeight="1">
      <c r="A299" s="13">
        <v>297</v>
      </c>
      <c r="B299" s="17"/>
      <c r="C299" s="14" t="s">
        <v>63</v>
      </c>
      <c r="D299" s="14" t="str">
        <f>"张裕华"</f>
        <v>张裕华</v>
      </c>
      <c r="E299" s="14" t="str">
        <f t="shared" si="35"/>
        <v>女</v>
      </c>
      <c r="F299" s="14" t="str">
        <f>"1994-09-07"</f>
        <v>1994-09-07</v>
      </c>
      <c r="G299" s="14" t="s">
        <v>12</v>
      </c>
      <c r="H299" s="14" t="s">
        <v>31</v>
      </c>
      <c r="I299" s="14" t="s">
        <v>29</v>
      </c>
    </row>
    <row r="300" spans="1:9" s="3" customFormat="1" ht="30" customHeight="1">
      <c r="A300" s="13">
        <v>298</v>
      </c>
      <c r="B300" s="17"/>
      <c r="C300" s="14" t="s">
        <v>63</v>
      </c>
      <c r="D300" s="14" t="str">
        <f>"黄萞萞"</f>
        <v>黄萞萞</v>
      </c>
      <c r="E300" s="14" t="str">
        <f t="shared" si="35"/>
        <v>女</v>
      </c>
      <c r="F300" s="14" t="str">
        <f>"1994-05-25"</f>
        <v>1994-05-25</v>
      </c>
      <c r="G300" s="14" t="s">
        <v>27</v>
      </c>
      <c r="H300" s="14" t="s">
        <v>28</v>
      </c>
      <c r="I300" s="14" t="s">
        <v>30</v>
      </c>
    </row>
    <row r="301" spans="1:9" s="3" customFormat="1" ht="30" customHeight="1">
      <c r="A301" s="13">
        <v>299</v>
      </c>
      <c r="B301" s="17"/>
      <c r="C301" s="14" t="s">
        <v>63</v>
      </c>
      <c r="D301" s="14" t="str">
        <f>"赵运合"</f>
        <v>赵运合</v>
      </c>
      <c r="E301" s="14" t="str">
        <f t="shared" si="35"/>
        <v>女</v>
      </c>
      <c r="F301" s="14" t="str">
        <f>"1999-10-06"</f>
        <v>1999-10-06</v>
      </c>
      <c r="G301" s="14" t="s">
        <v>27</v>
      </c>
      <c r="H301" s="14" t="s">
        <v>28</v>
      </c>
      <c r="I301" s="14" t="s">
        <v>30</v>
      </c>
    </row>
    <row r="302" spans="1:9" s="3" customFormat="1" ht="30" customHeight="1">
      <c r="A302" s="13">
        <v>300</v>
      </c>
      <c r="B302" s="17"/>
      <c r="C302" s="14" t="s">
        <v>63</v>
      </c>
      <c r="D302" s="14" t="str">
        <f>"龙倩倩"</f>
        <v>龙倩倩</v>
      </c>
      <c r="E302" s="14" t="str">
        <f t="shared" si="35"/>
        <v>女</v>
      </c>
      <c r="F302" s="14" t="str">
        <f>"1994-08-16"</f>
        <v>1994-08-16</v>
      </c>
      <c r="G302" s="14" t="s">
        <v>27</v>
      </c>
      <c r="H302" s="14" t="s">
        <v>28</v>
      </c>
      <c r="I302" s="14" t="s">
        <v>29</v>
      </c>
    </row>
    <row r="303" spans="1:9" s="3" customFormat="1" ht="30" customHeight="1">
      <c r="A303" s="13">
        <v>301</v>
      </c>
      <c r="B303" s="17"/>
      <c r="C303" s="14" t="s">
        <v>63</v>
      </c>
      <c r="D303" s="14" t="str">
        <f>"陈兰萍"</f>
        <v>陈兰萍</v>
      </c>
      <c r="E303" s="14" t="str">
        <f t="shared" si="35"/>
        <v>女</v>
      </c>
      <c r="F303" s="14" t="str">
        <f>"1995-05-09"</f>
        <v>1995-05-09</v>
      </c>
      <c r="G303" s="14" t="s">
        <v>27</v>
      </c>
      <c r="H303" s="14" t="s">
        <v>28</v>
      </c>
      <c r="I303" s="14" t="s">
        <v>30</v>
      </c>
    </row>
    <row r="304" spans="1:9" s="3" customFormat="1" ht="30" customHeight="1">
      <c r="A304" s="13">
        <v>302</v>
      </c>
      <c r="B304" s="17"/>
      <c r="C304" s="14" t="s">
        <v>63</v>
      </c>
      <c r="D304" s="14" t="str">
        <f>"蔡倩云"</f>
        <v>蔡倩云</v>
      </c>
      <c r="E304" s="14" t="str">
        <f t="shared" si="35"/>
        <v>女</v>
      </c>
      <c r="F304" s="14" t="str">
        <f>"1992-12-20"</f>
        <v>1992-12-20</v>
      </c>
      <c r="G304" s="14" t="s">
        <v>12</v>
      </c>
      <c r="H304" s="14" t="s">
        <v>31</v>
      </c>
      <c r="I304" s="14" t="s">
        <v>29</v>
      </c>
    </row>
    <row r="305" spans="1:9" s="3" customFormat="1" ht="30" customHeight="1">
      <c r="A305" s="13">
        <v>303</v>
      </c>
      <c r="B305" s="17"/>
      <c r="C305" s="14" t="s">
        <v>63</v>
      </c>
      <c r="D305" s="14" t="str">
        <f>"吴小敏"</f>
        <v>吴小敏</v>
      </c>
      <c r="E305" s="14" t="str">
        <f t="shared" si="35"/>
        <v>女</v>
      </c>
      <c r="F305" s="14" t="str">
        <f>"1993-03-21"</f>
        <v>1993-03-21</v>
      </c>
      <c r="G305" s="14" t="s">
        <v>27</v>
      </c>
      <c r="H305" s="14" t="s">
        <v>32</v>
      </c>
      <c r="I305" s="14" t="s">
        <v>30</v>
      </c>
    </row>
    <row r="306" spans="1:9" s="3" customFormat="1" ht="30" customHeight="1">
      <c r="A306" s="13">
        <v>304</v>
      </c>
      <c r="B306" s="17"/>
      <c r="C306" s="14" t="s">
        <v>63</v>
      </c>
      <c r="D306" s="14" t="str">
        <f>"牛彦姜"</f>
        <v>牛彦姜</v>
      </c>
      <c r="E306" s="14" t="str">
        <f t="shared" si="35"/>
        <v>女</v>
      </c>
      <c r="F306" s="14" t="str">
        <f>"1995-10-07"</f>
        <v>1995-10-07</v>
      </c>
      <c r="G306" s="14" t="s">
        <v>27</v>
      </c>
      <c r="H306" s="14" t="s">
        <v>32</v>
      </c>
      <c r="I306" s="14" t="s">
        <v>30</v>
      </c>
    </row>
    <row r="307" spans="1:9" s="3" customFormat="1" ht="30" customHeight="1">
      <c r="A307" s="13">
        <v>305</v>
      </c>
      <c r="B307" s="17"/>
      <c r="C307" s="14" t="s">
        <v>63</v>
      </c>
      <c r="D307" s="14" t="str">
        <f>"陈乐璇"</f>
        <v>陈乐璇</v>
      </c>
      <c r="E307" s="14" t="str">
        <f t="shared" si="35"/>
        <v>女</v>
      </c>
      <c r="F307" s="14" t="str">
        <f>"2000-01-05"</f>
        <v>2000-01-05</v>
      </c>
      <c r="G307" s="14" t="s">
        <v>27</v>
      </c>
      <c r="H307" s="14" t="s">
        <v>28</v>
      </c>
      <c r="I307" s="14" t="s">
        <v>30</v>
      </c>
    </row>
    <row r="308" spans="1:9" s="3" customFormat="1" ht="30" customHeight="1">
      <c r="A308" s="13">
        <v>306</v>
      </c>
      <c r="B308" s="17"/>
      <c r="C308" s="14" t="s">
        <v>63</v>
      </c>
      <c r="D308" s="14" t="str">
        <f>"刘亚听"</f>
        <v>刘亚听</v>
      </c>
      <c r="E308" s="14" t="str">
        <f t="shared" si="35"/>
        <v>女</v>
      </c>
      <c r="F308" s="14" t="str">
        <f>"1994-05-08"</f>
        <v>1994-05-08</v>
      </c>
      <c r="G308" s="14" t="s">
        <v>27</v>
      </c>
      <c r="H308" s="14" t="s">
        <v>28</v>
      </c>
      <c r="I308" s="14" t="s">
        <v>30</v>
      </c>
    </row>
    <row r="309" spans="1:9" s="3" customFormat="1" ht="30" customHeight="1">
      <c r="A309" s="13">
        <v>307</v>
      </c>
      <c r="B309" s="17"/>
      <c r="C309" s="14" t="s">
        <v>63</v>
      </c>
      <c r="D309" s="14" t="str">
        <f>"郑奇娜"</f>
        <v>郑奇娜</v>
      </c>
      <c r="E309" s="14" t="str">
        <f t="shared" si="35"/>
        <v>女</v>
      </c>
      <c r="F309" s="14" t="str">
        <f>"1997-07-17"</f>
        <v>1997-07-17</v>
      </c>
      <c r="G309" s="14" t="s">
        <v>27</v>
      </c>
      <c r="H309" s="14" t="s">
        <v>28</v>
      </c>
      <c r="I309" s="14" t="s">
        <v>30</v>
      </c>
    </row>
    <row r="310" spans="1:9" s="3" customFormat="1" ht="30" customHeight="1">
      <c r="A310" s="13">
        <v>308</v>
      </c>
      <c r="B310" s="17"/>
      <c r="C310" s="14" t="s">
        <v>63</v>
      </c>
      <c r="D310" s="14" t="str">
        <f>"张文"</f>
        <v>张文</v>
      </c>
      <c r="E310" s="14" t="str">
        <f>"男"</f>
        <v>男</v>
      </c>
      <c r="F310" s="14" t="str">
        <f>"1998-07-29"</f>
        <v>1998-07-29</v>
      </c>
      <c r="G310" s="14" t="s">
        <v>27</v>
      </c>
      <c r="H310" s="14" t="s">
        <v>28</v>
      </c>
      <c r="I310" s="14" t="s">
        <v>30</v>
      </c>
    </row>
    <row r="311" spans="1:9" s="3" customFormat="1" ht="30" customHeight="1">
      <c r="A311" s="13">
        <v>309</v>
      </c>
      <c r="B311" s="17"/>
      <c r="C311" s="14" t="s">
        <v>63</v>
      </c>
      <c r="D311" s="14" t="str">
        <f>"林晓燕"</f>
        <v>林晓燕</v>
      </c>
      <c r="E311" s="14" t="str">
        <f aca="true" t="shared" si="36" ref="E311:E342">"女"</f>
        <v>女</v>
      </c>
      <c r="F311" s="14" t="str">
        <f>"1992-07-10"</f>
        <v>1992-07-10</v>
      </c>
      <c r="G311" s="14" t="s">
        <v>12</v>
      </c>
      <c r="H311" s="14" t="s">
        <v>31</v>
      </c>
      <c r="I311" s="14" t="s">
        <v>29</v>
      </c>
    </row>
    <row r="312" spans="1:9" s="3" customFormat="1" ht="30" customHeight="1">
      <c r="A312" s="13">
        <v>310</v>
      </c>
      <c r="B312" s="17"/>
      <c r="C312" s="14" t="s">
        <v>63</v>
      </c>
      <c r="D312" s="14" t="str">
        <f>"王娜"</f>
        <v>王娜</v>
      </c>
      <c r="E312" s="14" t="str">
        <f t="shared" si="36"/>
        <v>女</v>
      </c>
      <c r="F312" s="14" t="str">
        <f>"1996-11-28"</f>
        <v>1996-11-28</v>
      </c>
      <c r="G312" s="14" t="s">
        <v>27</v>
      </c>
      <c r="H312" s="14" t="s">
        <v>28</v>
      </c>
      <c r="I312" s="14" t="s">
        <v>30</v>
      </c>
    </row>
    <row r="313" spans="1:9" s="3" customFormat="1" ht="30" customHeight="1">
      <c r="A313" s="13">
        <v>311</v>
      </c>
      <c r="B313" s="18"/>
      <c r="C313" s="14" t="s">
        <v>63</v>
      </c>
      <c r="D313" s="14" t="str">
        <f>"王冰"</f>
        <v>王冰</v>
      </c>
      <c r="E313" s="14" t="str">
        <f t="shared" si="36"/>
        <v>女</v>
      </c>
      <c r="F313" s="14" t="str">
        <f>"1999-05-07"</f>
        <v>1999-05-07</v>
      </c>
      <c r="G313" s="14" t="s">
        <v>27</v>
      </c>
      <c r="H313" s="14" t="s">
        <v>28</v>
      </c>
      <c r="I313" s="14" t="s">
        <v>29</v>
      </c>
    </row>
    <row r="314" spans="1:9" s="3" customFormat="1" ht="30" customHeight="1">
      <c r="A314" s="13">
        <v>312</v>
      </c>
      <c r="B314" s="16" t="s">
        <v>64</v>
      </c>
      <c r="C314" s="14" t="s">
        <v>65</v>
      </c>
      <c r="D314" s="14" t="str">
        <f>"李廷梅"</f>
        <v>李廷梅</v>
      </c>
      <c r="E314" s="14" t="str">
        <f t="shared" si="36"/>
        <v>女</v>
      </c>
      <c r="F314" s="14" t="str">
        <f>"1988-10-24"</f>
        <v>1988-10-24</v>
      </c>
      <c r="G314" s="14" t="s">
        <v>12</v>
      </c>
      <c r="H314" s="14" t="s">
        <v>31</v>
      </c>
      <c r="I314" s="14" t="s">
        <v>29</v>
      </c>
    </row>
    <row r="315" spans="1:9" s="3" customFormat="1" ht="30" customHeight="1">
      <c r="A315" s="13">
        <v>313</v>
      </c>
      <c r="B315" s="17"/>
      <c r="C315" s="14" t="s">
        <v>65</v>
      </c>
      <c r="D315" s="14" t="str">
        <f>"高英凤"</f>
        <v>高英凤</v>
      </c>
      <c r="E315" s="14" t="str">
        <f t="shared" si="36"/>
        <v>女</v>
      </c>
      <c r="F315" s="14" t="str">
        <f>"1983-02-12"</f>
        <v>1983-02-12</v>
      </c>
      <c r="G315" s="14" t="s">
        <v>27</v>
      </c>
      <c r="H315" s="14" t="s">
        <v>28</v>
      </c>
      <c r="I315" s="14" t="s">
        <v>30</v>
      </c>
    </row>
    <row r="316" spans="1:9" s="3" customFormat="1" ht="30" customHeight="1">
      <c r="A316" s="13">
        <v>314</v>
      </c>
      <c r="B316" s="17"/>
      <c r="C316" s="14" t="s">
        <v>65</v>
      </c>
      <c r="D316" s="14" t="str">
        <f>"陈小娇"</f>
        <v>陈小娇</v>
      </c>
      <c r="E316" s="14" t="str">
        <f t="shared" si="36"/>
        <v>女</v>
      </c>
      <c r="F316" s="14" t="str">
        <f>"1985-12-29"</f>
        <v>1985-12-29</v>
      </c>
      <c r="G316" s="14" t="s">
        <v>12</v>
      </c>
      <c r="H316" s="14" t="s">
        <v>31</v>
      </c>
      <c r="I316" s="14" t="s">
        <v>29</v>
      </c>
    </row>
    <row r="317" spans="1:9" s="3" customFormat="1" ht="30" customHeight="1">
      <c r="A317" s="13">
        <v>315</v>
      </c>
      <c r="B317" s="17"/>
      <c r="C317" s="14" t="s">
        <v>65</v>
      </c>
      <c r="D317" s="14" t="str">
        <f>"马珊珊"</f>
        <v>马珊珊</v>
      </c>
      <c r="E317" s="14" t="str">
        <f t="shared" si="36"/>
        <v>女</v>
      </c>
      <c r="F317" s="14" t="str">
        <f>"1995-01-07"</f>
        <v>1995-01-07</v>
      </c>
      <c r="G317" s="14" t="s">
        <v>27</v>
      </c>
      <c r="H317" s="14" t="s">
        <v>28</v>
      </c>
      <c r="I317" s="14" t="s">
        <v>30</v>
      </c>
    </row>
    <row r="318" spans="1:9" s="3" customFormat="1" ht="30" customHeight="1">
      <c r="A318" s="13">
        <v>316</v>
      </c>
      <c r="B318" s="17"/>
      <c r="C318" s="14" t="s">
        <v>65</v>
      </c>
      <c r="D318" s="14" t="str">
        <f>"郭起拉"</f>
        <v>郭起拉</v>
      </c>
      <c r="E318" s="14" t="str">
        <f t="shared" si="36"/>
        <v>女</v>
      </c>
      <c r="F318" s="14" t="str">
        <f>"1995-08-20"</f>
        <v>1995-08-20</v>
      </c>
      <c r="G318" s="14" t="s">
        <v>27</v>
      </c>
      <c r="H318" s="14" t="s">
        <v>28</v>
      </c>
      <c r="I318" s="14" t="s">
        <v>30</v>
      </c>
    </row>
    <row r="319" spans="1:9" s="3" customFormat="1" ht="30" customHeight="1">
      <c r="A319" s="13">
        <v>317</v>
      </c>
      <c r="B319" s="17"/>
      <c r="C319" s="14" t="s">
        <v>65</v>
      </c>
      <c r="D319" s="14" t="str">
        <f>"蔡妹"</f>
        <v>蔡妹</v>
      </c>
      <c r="E319" s="14" t="str">
        <f t="shared" si="36"/>
        <v>女</v>
      </c>
      <c r="F319" s="14" t="str">
        <f>"1997-05-25"</f>
        <v>1997-05-25</v>
      </c>
      <c r="G319" s="14" t="s">
        <v>27</v>
      </c>
      <c r="H319" s="14" t="s">
        <v>28</v>
      </c>
      <c r="I319" s="14" t="s">
        <v>29</v>
      </c>
    </row>
    <row r="320" spans="1:9" s="3" customFormat="1" ht="30" customHeight="1">
      <c r="A320" s="13">
        <v>318</v>
      </c>
      <c r="B320" s="17"/>
      <c r="C320" s="14" t="s">
        <v>65</v>
      </c>
      <c r="D320" s="14" t="str">
        <f>"宁益"</f>
        <v>宁益</v>
      </c>
      <c r="E320" s="14" t="str">
        <f t="shared" si="36"/>
        <v>女</v>
      </c>
      <c r="F320" s="14" t="str">
        <f>"1987-05-11"</f>
        <v>1987-05-11</v>
      </c>
      <c r="G320" s="14" t="s">
        <v>27</v>
      </c>
      <c r="H320" s="14" t="s">
        <v>28</v>
      </c>
      <c r="I320" s="14" t="s">
        <v>29</v>
      </c>
    </row>
    <row r="321" spans="1:9" s="3" customFormat="1" ht="30" customHeight="1">
      <c r="A321" s="13">
        <v>319</v>
      </c>
      <c r="B321" s="17"/>
      <c r="C321" s="14" t="s">
        <v>65</v>
      </c>
      <c r="D321" s="14" t="str">
        <f>"朱小玉"</f>
        <v>朱小玉</v>
      </c>
      <c r="E321" s="14" t="str">
        <f t="shared" si="36"/>
        <v>女</v>
      </c>
      <c r="F321" s="14" t="str">
        <f>"1985-04-17"</f>
        <v>1985-04-17</v>
      </c>
      <c r="G321" s="14" t="s">
        <v>27</v>
      </c>
      <c r="H321" s="14" t="s">
        <v>28</v>
      </c>
      <c r="I321" s="14" t="s">
        <v>29</v>
      </c>
    </row>
    <row r="322" spans="1:9" s="3" customFormat="1" ht="30" customHeight="1">
      <c r="A322" s="13">
        <v>320</v>
      </c>
      <c r="B322" s="17"/>
      <c r="C322" s="14" t="s">
        <v>65</v>
      </c>
      <c r="D322" s="14" t="str">
        <f>"黄群"</f>
        <v>黄群</v>
      </c>
      <c r="E322" s="14" t="str">
        <f t="shared" si="36"/>
        <v>女</v>
      </c>
      <c r="F322" s="14" t="str">
        <f>"1983-08-10"</f>
        <v>1983-08-10</v>
      </c>
      <c r="G322" s="14" t="s">
        <v>12</v>
      </c>
      <c r="H322" s="14" t="s">
        <v>31</v>
      </c>
      <c r="I322" s="14" t="s">
        <v>29</v>
      </c>
    </row>
    <row r="323" spans="1:9" s="3" customFormat="1" ht="30" customHeight="1">
      <c r="A323" s="13">
        <v>321</v>
      </c>
      <c r="B323" s="17"/>
      <c r="C323" s="14" t="s">
        <v>65</v>
      </c>
      <c r="D323" s="14" t="str">
        <f>"张淑丽"</f>
        <v>张淑丽</v>
      </c>
      <c r="E323" s="14" t="str">
        <f t="shared" si="36"/>
        <v>女</v>
      </c>
      <c r="F323" s="14" t="str">
        <f>"1996-09-15"</f>
        <v>1996-09-15</v>
      </c>
      <c r="G323" s="14" t="s">
        <v>27</v>
      </c>
      <c r="H323" s="14" t="s">
        <v>28</v>
      </c>
      <c r="I323" s="14" t="s">
        <v>30</v>
      </c>
    </row>
    <row r="324" spans="1:9" s="3" customFormat="1" ht="30" customHeight="1">
      <c r="A324" s="13">
        <v>322</v>
      </c>
      <c r="B324" s="17"/>
      <c r="C324" s="14" t="s">
        <v>65</v>
      </c>
      <c r="D324" s="14" t="str">
        <f>"王燕"</f>
        <v>王燕</v>
      </c>
      <c r="E324" s="14" t="str">
        <f t="shared" si="36"/>
        <v>女</v>
      </c>
      <c r="F324" s="14" t="str">
        <f>"1989-06-23"</f>
        <v>1989-06-23</v>
      </c>
      <c r="G324" s="14" t="s">
        <v>27</v>
      </c>
      <c r="H324" s="14" t="s">
        <v>28</v>
      </c>
      <c r="I324" s="14" t="s">
        <v>30</v>
      </c>
    </row>
    <row r="325" spans="1:9" s="3" customFormat="1" ht="30" customHeight="1">
      <c r="A325" s="13">
        <v>323</v>
      </c>
      <c r="B325" s="17"/>
      <c r="C325" s="14" t="s">
        <v>65</v>
      </c>
      <c r="D325" s="14" t="str">
        <f>"刘童"</f>
        <v>刘童</v>
      </c>
      <c r="E325" s="14" t="str">
        <f t="shared" si="36"/>
        <v>女</v>
      </c>
      <c r="F325" s="14" t="str">
        <f>"1997-08-14"</f>
        <v>1997-08-14</v>
      </c>
      <c r="G325" s="14" t="s">
        <v>12</v>
      </c>
      <c r="H325" s="14" t="s">
        <v>31</v>
      </c>
      <c r="I325" s="14" t="s">
        <v>30</v>
      </c>
    </row>
    <row r="326" spans="1:9" s="3" customFormat="1" ht="30" customHeight="1">
      <c r="A326" s="13">
        <v>324</v>
      </c>
      <c r="B326" s="17"/>
      <c r="C326" s="14" t="s">
        <v>65</v>
      </c>
      <c r="D326" s="14" t="str">
        <f>"关万微"</f>
        <v>关万微</v>
      </c>
      <c r="E326" s="14" t="str">
        <f t="shared" si="36"/>
        <v>女</v>
      </c>
      <c r="F326" s="14" t="str">
        <f>"1983-04-20"</f>
        <v>1983-04-20</v>
      </c>
      <c r="G326" s="14" t="s">
        <v>12</v>
      </c>
      <c r="H326" s="14" t="s">
        <v>31</v>
      </c>
      <c r="I326" s="14" t="s">
        <v>33</v>
      </c>
    </row>
    <row r="327" spans="1:9" s="3" customFormat="1" ht="30" customHeight="1">
      <c r="A327" s="13">
        <v>325</v>
      </c>
      <c r="B327" s="17"/>
      <c r="C327" s="14" t="s">
        <v>65</v>
      </c>
      <c r="D327" s="14" t="str">
        <f>"钱闪灿"</f>
        <v>钱闪灿</v>
      </c>
      <c r="E327" s="14" t="str">
        <f t="shared" si="36"/>
        <v>女</v>
      </c>
      <c r="F327" s="14" t="str">
        <f>"1994-04-08"</f>
        <v>1994-04-08</v>
      </c>
      <c r="G327" s="14" t="s">
        <v>12</v>
      </c>
      <c r="H327" s="14" t="s">
        <v>31</v>
      </c>
      <c r="I327" s="14" t="s">
        <v>29</v>
      </c>
    </row>
    <row r="328" spans="1:9" s="3" customFormat="1" ht="30" customHeight="1">
      <c r="A328" s="13">
        <v>326</v>
      </c>
      <c r="B328" s="17"/>
      <c r="C328" s="14" t="s">
        <v>65</v>
      </c>
      <c r="D328" s="14" t="str">
        <f>"胡瑞婷"</f>
        <v>胡瑞婷</v>
      </c>
      <c r="E328" s="14" t="str">
        <f t="shared" si="36"/>
        <v>女</v>
      </c>
      <c r="F328" s="14" t="str">
        <f>"1982-09-29"</f>
        <v>1982-09-29</v>
      </c>
      <c r="G328" s="14" t="s">
        <v>27</v>
      </c>
      <c r="H328" s="14" t="s">
        <v>28</v>
      </c>
      <c r="I328" s="14" t="s">
        <v>30</v>
      </c>
    </row>
    <row r="329" spans="1:9" s="3" customFormat="1" ht="30" customHeight="1">
      <c r="A329" s="13">
        <v>327</v>
      </c>
      <c r="B329" s="17"/>
      <c r="C329" s="14" t="s">
        <v>65</v>
      </c>
      <c r="D329" s="14" t="str">
        <f>"史才米"</f>
        <v>史才米</v>
      </c>
      <c r="E329" s="14" t="str">
        <f t="shared" si="36"/>
        <v>女</v>
      </c>
      <c r="F329" s="14" t="str">
        <f>"1996-04-15"</f>
        <v>1996-04-15</v>
      </c>
      <c r="G329" s="14" t="s">
        <v>27</v>
      </c>
      <c r="H329" s="14" t="s">
        <v>28</v>
      </c>
      <c r="I329" s="14" t="s">
        <v>30</v>
      </c>
    </row>
    <row r="330" spans="1:9" s="3" customFormat="1" ht="30" customHeight="1">
      <c r="A330" s="13">
        <v>328</v>
      </c>
      <c r="B330" s="17"/>
      <c r="C330" s="14" t="s">
        <v>65</v>
      </c>
      <c r="D330" s="14" t="str">
        <f>"林娇莉"</f>
        <v>林娇莉</v>
      </c>
      <c r="E330" s="14" t="str">
        <f t="shared" si="36"/>
        <v>女</v>
      </c>
      <c r="F330" s="14" t="str">
        <f>"1986-07-07"</f>
        <v>1986-07-07</v>
      </c>
      <c r="G330" s="14" t="s">
        <v>27</v>
      </c>
      <c r="H330" s="14" t="s">
        <v>28</v>
      </c>
      <c r="I330" s="14" t="s">
        <v>30</v>
      </c>
    </row>
    <row r="331" spans="1:9" s="3" customFormat="1" ht="30" customHeight="1">
      <c r="A331" s="13">
        <v>329</v>
      </c>
      <c r="B331" s="17"/>
      <c r="C331" s="14" t="s">
        <v>65</v>
      </c>
      <c r="D331" s="14" t="str">
        <f>"黄泽春"</f>
        <v>黄泽春</v>
      </c>
      <c r="E331" s="14" t="str">
        <f t="shared" si="36"/>
        <v>女</v>
      </c>
      <c r="F331" s="14" t="str">
        <f>"1985-12-24"</f>
        <v>1985-12-24</v>
      </c>
      <c r="G331" s="14" t="s">
        <v>27</v>
      </c>
      <c r="H331" s="14" t="s">
        <v>28</v>
      </c>
      <c r="I331" s="14" t="s">
        <v>30</v>
      </c>
    </row>
    <row r="332" spans="1:9" s="3" customFormat="1" ht="30" customHeight="1">
      <c r="A332" s="13">
        <v>330</v>
      </c>
      <c r="B332" s="17"/>
      <c r="C332" s="14" t="s">
        <v>65</v>
      </c>
      <c r="D332" s="14" t="str">
        <f>"黄念"</f>
        <v>黄念</v>
      </c>
      <c r="E332" s="14" t="str">
        <f t="shared" si="36"/>
        <v>女</v>
      </c>
      <c r="F332" s="14" t="str">
        <f>"1992-10-02"</f>
        <v>1992-10-02</v>
      </c>
      <c r="G332" s="14" t="s">
        <v>27</v>
      </c>
      <c r="H332" s="14" t="s">
        <v>28</v>
      </c>
      <c r="I332" s="14" t="s">
        <v>30</v>
      </c>
    </row>
    <row r="333" spans="1:9" s="3" customFormat="1" ht="30" customHeight="1">
      <c r="A333" s="13">
        <v>331</v>
      </c>
      <c r="B333" s="17"/>
      <c r="C333" s="14" t="s">
        <v>65</v>
      </c>
      <c r="D333" s="14" t="str">
        <f>"卓惠芳"</f>
        <v>卓惠芳</v>
      </c>
      <c r="E333" s="14" t="str">
        <f t="shared" si="36"/>
        <v>女</v>
      </c>
      <c r="F333" s="14" t="str">
        <f>"1995-10-17"</f>
        <v>1995-10-17</v>
      </c>
      <c r="G333" s="14" t="s">
        <v>27</v>
      </c>
      <c r="H333" s="14" t="s">
        <v>28</v>
      </c>
      <c r="I333" s="14" t="s">
        <v>30</v>
      </c>
    </row>
    <row r="334" spans="1:9" s="3" customFormat="1" ht="30" customHeight="1">
      <c r="A334" s="13">
        <v>332</v>
      </c>
      <c r="B334" s="17"/>
      <c r="C334" s="14" t="s">
        <v>65</v>
      </c>
      <c r="D334" s="14" t="str">
        <f>"胡潭"</f>
        <v>胡潭</v>
      </c>
      <c r="E334" s="14" t="str">
        <f t="shared" si="36"/>
        <v>女</v>
      </c>
      <c r="F334" s="14" t="str">
        <f>"1994-08-17"</f>
        <v>1994-08-17</v>
      </c>
      <c r="G334" s="14" t="s">
        <v>27</v>
      </c>
      <c r="H334" s="14" t="s">
        <v>28</v>
      </c>
      <c r="I334" s="14" t="s">
        <v>29</v>
      </c>
    </row>
    <row r="335" spans="1:9" s="3" customFormat="1" ht="30" customHeight="1">
      <c r="A335" s="13">
        <v>333</v>
      </c>
      <c r="B335" s="17"/>
      <c r="C335" s="14" t="s">
        <v>65</v>
      </c>
      <c r="D335" s="14" t="str">
        <f>"林小叶"</f>
        <v>林小叶</v>
      </c>
      <c r="E335" s="14" t="str">
        <f t="shared" si="36"/>
        <v>女</v>
      </c>
      <c r="F335" s="14" t="str">
        <f>"1993-08-30"</f>
        <v>1993-08-30</v>
      </c>
      <c r="G335" s="14" t="s">
        <v>12</v>
      </c>
      <c r="H335" s="14" t="s">
        <v>31</v>
      </c>
      <c r="I335" s="14" t="s">
        <v>29</v>
      </c>
    </row>
    <row r="336" spans="1:9" s="3" customFormat="1" ht="30" customHeight="1">
      <c r="A336" s="13">
        <v>334</v>
      </c>
      <c r="B336" s="17"/>
      <c r="C336" s="14" t="s">
        <v>65</v>
      </c>
      <c r="D336" s="14" t="str">
        <f>"颜景锐"</f>
        <v>颜景锐</v>
      </c>
      <c r="E336" s="14" t="str">
        <f t="shared" si="36"/>
        <v>女</v>
      </c>
      <c r="F336" s="14" t="str">
        <f>"1990-04-27"</f>
        <v>1990-04-27</v>
      </c>
      <c r="G336" s="14" t="s">
        <v>12</v>
      </c>
      <c r="H336" s="14" t="s">
        <v>31</v>
      </c>
      <c r="I336" s="14" t="s">
        <v>30</v>
      </c>
    </row>
    <row r="337" spans="1:9" s="3" customFormat="1" ht="30" customHeight="1">
      <c r="A337" s="13">
        <v>335</v>
      </c>
      <c r="B337" s="17"/>
      <c r="C337" s="14" t="s">
        <v>65</v>
      </c>
      <c r="D337" s="14" t="str">
        <f>"卓小琼"</f>
        <v>卓小琼</v>
      </c>
      <c r="E337" s="14" t="str">
        <f t="shared" si="36"/>
        <v>女</v>
      </c>
      <c r="F337" s="14" t="str">
        <f>"1989-03-10"</f>
        <v>1989-03-10</v>
      </c>
      <c r="G337" s="14" t="s">
        <v>12</v>
      </c>
      <c r="H337" s="14" t="s">
        <v>31</v>
      </c>
      <c r="I337" s="14" t="s">
        <v>30</v>
      </c>
    </row>
    <row r="338" spans="1:9" s="3" customFormat="1" ht="30" customHeight="1">
      <c r="A338" s="13">
        <v>336</v>
      </c>
      <c r="B338" s="17"/>
      <c r="C338" s="14" t="s">
        <v>65</v>
      </c>
      <c r="D338" s="14" t="str">
        <f>"陈卓"</f>
        <v>陈卓</v>
      </c>
      <c r="E338" s="14" t="str">
        <f t="shared" si="36"/>
        <v>女</v>
      </c>
      <c r="F338" s="14" t="str">
        <f>"1984-04-10"</f>
        <v>1984-04-10</v>
      </c>
      <c r="G338" s="14" t="s">
        <v>12</v>
      </c>
      <c r="H338" s="14" t="s">
        <v>31</v>
      </c>
      <c r="I338" s="14" t="s">
        <v>33</v>
      </c>
    </row>
    <row r="339" spans="1:9" s="3" customFormat="1" ht="30" customHeight="1">
      <c r="A339" s="13">
        <v>337</v>
      </c>
      <c r="B339" s="18"/>
      <c r="C339" s="21" t="s">
        <v>65</v>
      </c>
      <c r="D339" s="25" t="s">
        <v>66</v>
      </c>
      <c r="E339" s="21" t="s">
        <v>48</v>
      </c>
      <c r="F339" s="14" t="str">
        <f>"1986-04-20"</f>
        <v>1986-04-20</v>
      </c>
      <c r="G339" s="21" t="s">
        <v>27</v>
      </c>
      <c r="H339" s="21" t="s">
        <v>28</v>
      </c>
      <c r="I339" s="14" t="s">
        <v>67</v>
      </c>
    </row>
    <row r="340" spans="1:9" s="3" customFormat="1" ht="30" customHeight="1">
      <c r="A340" s="13">
        <v>338</v>
      </c>
      <c r="B340" s="11" t="s">
        <v>68</v>
      </c>
      <c r="C340" s="14" t="s">
        <v>69</v>
      </c>
      <c r="D340" s="14" t="str">
        <f>"林紫妍"</f>
        <v>林紫妍</v>
      </c>
      <c r="E340" s="14" t="str">
        <f aca="true" t="shared" si="37" ref="E340:E343">"女"</f>
        <v>女</v>
      </c>
      <c r="F340" s="14" t="str">
        <f>"1994-10-11"</f>
        <v>1994-10-11</v>
      </c>
      <c r="G340" s="15" t="s">
        <v>12</v>
      </c>
      <c r="H340" s="15" t="s">
        <v>70</v>
      </c>
      <c r="I340" s="15" t="s">
        <v>71</v>
      </c>
    </row>
    <row r="341" spans="1:9" s="3" customFormat="1" ht="30" customHeight="1">
      <c r="A341" s="13">
        <v>339</v>
      </c>
      <c r="B341" s="16" t="s">
        <v>68</v>
      </c>
      <c r="C341" s="14" t="s">
        <v>72</v>
      </c>
      <c r="D341" s="14" t="str">
        <f>"董莉"</f>
        <v>董莉</v>
      </c>
      <c r="E341" s="14" t="str">
        <f t="shared" si="37"/>
        <v>女</v>
      </c>
      <c r="F341" s="14" t="str">
        <f>"1986-02-26"</f>
        <v>1986-02-26</v>
      </c>
      <c r="G341" s="14" t="s">
        <v>12</v>
      </c>
      <c r="H341" s="14" t="s">
        <v>16</v>
      </c>
      <c r="I341" s="14" t="s">
        <v>73</v>
      </c>
    </row>
    <row r="342" spans="1:9" s="3" customFormat="1" ht="30" customHeight="1">
      <c r="A342" s="13">
        <v>340</v>
      </c>
      <c r="B342" s="17"/>
      <c r="C342" s="14" t="s">
        <v>72</v>
      </c>
      <c r="D342" s="14" t="str">
        <f>"蓝玉莹"</f>
        <v>蓝玉莹</v>
      </c>
      <c r="E342" s="14" t="str">
        <f t="shared" si="37"/>
        <v>女</v>
      </c>
      <c r="F342" s="14" t="str">
        <f>"1994-12-30"</f>
        <v>1994-12-30</v>
      </c>
      <c r="G342" s="14" t="s">
        <v>12</v>
      </c>
      <c r="H342" s="14" t="s">
        <v>16</v>
      </c>
      <c r="I342" s="14" t="s">
        <v>36</v>
      </c>
    </row>
    <row r="343" spans="1:9" s="3" customFormat="1" ht="30" customHeight="1">
      <c r="A343" s="13">
        <v>341</v>
      </c>
      <c r="B343" s="17"/>
      <c r="C343" s="14" t="s">
        <v>72</v>
      </c>
      <c r="D343" s="14" t="str">
        <f>"曾秀英"</f>
        <v>曾秀英</v>
      </c>
      <c r="E343" s="14" t="str">
        <f t="shared" si="37"/>
        <v>女</v>
      </c>
      <c r="F343" s="14" t="str">
        <f>"1991-10-06"</f>
        <v>1991-10-06</v>
      </c>
      <c r="G343" s="14" t="s">
        <v>12</v>
      </c>
      <c r="H343" s="14" t="s">
        <v>16</v>
      </c>
      <c r="I343" s="14" t="s">
        <v>36</v>
      </c>
    </row>
    <row r="344" spans="1:9" s="3" customFormat="1" ht="30" customHeight="1">
      <c r="A344" s="13">
        <v>342</v>
      </c>
      <c r="B344" s="17"/>
      <c r="C344" s="14" t="s">
        <v>72</v>
      </c>
      <c r="D344" s="14" t="str">
        <f>"龚卓"</f>
        <v>龚卓</v>
      </c>
      <c r="E344" s="14" t="str">
        <f aca="true" t="shared" si="38" ref="E344:E349">"男"</f>
        <v>男</v>
      </c>
      <c r="F344" s="14" t="str">
        <f>"1991-01-17"</f>
        <v>1991-01-17</v>
      </c>
      <c r="G344" s="14" t="s">
        <v>74</v>
      </c>
      <c r="H344" s="14" t="s">
        <v>16</v>
      </c>
      <c r="I344" s="14" t="s">
        <v>36</v>
      </c>
    </row>
    <row r="345" spans="1:9" s="3" customFormat="1" ht="30" customHeight="1">
      <c r="A345" s="13">
        <v>343</v>
      </c>
      <c r="B345" s="17"/>
      <c r="C345" s="14" t="s">
        <v>72</v>
      </c>
      <c r="D345" s="14" t="str">
        <f>"于敏"</f>
        <v>于敏</v>
      </c>
      <c r="E345" s="14" t="str">
        <f aca="true" t="shared" si="39" ref="E345:E348">"女"</f>
        <v>女</v>
      </c>
      <c r="F345" s="14" t="str">
        <f>"1995-05-13"</f>
        <v>1995-05-13</v>
      </c>
      <c r="G345" s="14" t="s">
        <v>12</v>
      </c>
      <c r="H345" s="14" t="s">
        <v>16</v>
      </c>
      <c r="I345" s="14" t="s">
        <v>36</v>
      </c>
    </row>
    <row r="346" spans="1:9" s="3" customFormat="1" ht="30" customHeight="1">
      <c r="A346" s="13">
        <v>344</v>
      </c>
      <c r="B346" s="17"/>
      <c r="C346" s="14" t="s">
        <v>72</v>
      </c>
      <c r="D346" s="14" t="str">
        <f>"王明向"</f>
        <v>王明向</v>
      </c>
      <c r="E346" s="14" t="str">
        <f t="shared" si="38"/>
        <v>男</v>
      </c>
      <c r="F346" s="14" t="str">
        <f>"1995-06-24"</f>
        <v>1995-06-24</v>
      </c>
      <c r="G346" s="14" t="s">
        <v>12</v>
      </c>
      <c r="H346" s="14" t="s">
        <v>16</v>
      </c>
      <c r="I346" s="14" t="s">
        <v>36</v>
      </c>
    </row>
    <row r="347" spans="1:9" s="3" customFormat="1" ht="30" customHeight="1">
      <c r="A347" s="13">
        <v>345</v>
      </c>
      <c r="B347" s="17"/>
      <c r="C347" s="14" t="s">
        <v>72</v>
      </c>
      <c r="D347" s="14" t="str">
        <f>"王岚婷"</f>
        <v>王岚婷</v>
      </c>
      <c r="E347" s="14" t="str">
        <f t="shared" si="39"/>
        <v>女</v>
      </c>
      <c r="F347" s="14" t="str">
        <f>"1989-02-13"</f>
        <v>1989-02-13</v>
      </c>
      <c r="G347" s="14" t="s">
        <v>12</v>
      </c>
      <c r="H347" s="14" t="s">
        <v>16</v>
      </c>
      <c r="I347" s="14" t="s">
        <v>75</v>
      </c>
    </row>
    <row r="348" spans="1:9" s="3" customFormat="1" ht="30" customHeight="1">
      <c r="A348" s="13">
        <v>346</v>
      </c>
      <c r="B348" s="17"/>
      <c r="C348" s="14" t="s">
        <v>72</v>
      </c>
      <c r="D348" s="14" t="str">
        <f>"吴如柳"</f>
        <v>吴如柳</v>
      </c>
      <c r="E348" s="14" t="str">
        <f t="shared" si="39"/>
        <v>女</v>
      </c>
      <c r="F348" s="14" t="str">
        <f>"1994-09-09"</f>
        <v>1994-09-09</v>
      </c>
      <c r="G348" s="14" t="s">
        <v>12</v>
      </c>
      <c r="H348" s="14" t="s">
        <v>16</v>
      </c>
      <c r="I348" s="14" t="s">
        <v>36</v>
      </c>
    </row>
    <row r="349" spans="1:9" s="3" customFormat="1" ht="30" customHeight="1">
      <c r="A349" s="13">
        <v>347</v>
      </c>
      <c r="B349" s="18"/>
      <c r="C349" s="14" t="s">
        <v>72</v>
      </c>
      <c r="D349" s="14" t="str">
        <f>"符定芳"</f>
        <v>符定芳</v>
      </c>
      <c r="E349" s="14" t="str">
        <f t="shared" si="38"/>
        <v>男</v>
      </c>
      <c r="F349" s="14" t="str">
        <f>"1995-04-02"</f>
        <v>1995-04-02</v>
      </c>
      <c r="G349" s="14" t="s">
        <v>12</v>
      </c>
      <c r="H349" s="14" t="s">
        <v>16</v>
      </c>
      <c r="I349" s="14" t="s">
        <v>36</v>
      </c>
    </row>
  </sheetData>
  <sheetProtection/>
  <autoFilter ref="A2:I349"/>
  <mergeCells count="18">
    <mergeCell ref="A1:I1"/>
    <mergeCell ref="B4:B8"/>
    <mergeCell ref="B9:B10"/>
    <mergeCell ref="B11:B15"/>
    <mergeCell ref="B16:B41"/>
    <mergeCell ref="B42:B111"/>
    <mergeCell ref="B113:B116"/>
    <mergeCell ref="B117:B121"/>
    <mergeCell ref="B122:B131"/>
    <mergeCell ref="B132:B192"/>
    <mergeCell ref="B193:B194"/>
    <mergeCell ref="B195:B255"/>
    <mergeCell ref="B256:B257"/>
    <mergeCell ref="B258:B261"/>
    <mergeCell ref="B262:B263"/>
    <mergeCell ref="B264:B313"/>
    <mergeCell ref="B314:B339"/>
    <mergeCell ref="B341:B349"/>
  </mergeCells>
  <printOptions/>
  <pageMargins left="0.43" right="0.24" top="0.43" bottom="0.31" header="0.24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春天和丛林</cp:lastModifiedBy>
  <dcterms:created xsi:type="dcterms:W3CDTF">2022-08-23T01:04:57Z</dcterms:created>
  <dcterms:modified xsi:type="dcterms:W3CDTF">2022-09-02T00:19:58Z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574BF315EA8E457895763840E20CD7A0</vt:lpwstr>
  </property>
  <property fmtid="{D5CDD505-2E9C-101B-9397-08002B2CF9AE}" pid="4" name="KSOProductBuildV">
    <vt:lpwstr>2052-10.8.0.5603</vt:lpwstr>
  </property>
</Properties>
</file>